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2"/>
  <workbookPr defaultThemeVersion="166925"/>
  <mc:AlternateContent xmlns:mc="http://schemas.openxmlformats.org/markup-compatibility/2006">
    <mc:Choice Requires="x15">
      <x15ac:absPath xmlns:x15ac="http://schemas.microsoft.com/office/spreadsheetml/2010/11/ac" url="https://idipronbgta.sharepoint.com/sites/MapadeRiesgosIDIPRON/Documentos compartidos/RIESGOS 2025/Riesgos de Gestión/Primer seguimiento/Gestión Jurídica/"/>
    </mc:Choice>
  </mc:AlternateContent>
  <xr:revisionPtr revIDLastSave="95" documentId="13_ncr:1_{63CABBB7-FF13-4C92-944A-64C8FFF735B8}" xr6:coauthVersionLast="47" xr6:coauthVersionMax="47" xr10:uidLastSave="{7A63686A-D7FA-425A-9D1E-584E0F8FFD00}"/>
  <bookViews>
    <workbookView xWindow="-108" yWindow="-108" windowWidth="23256" windowHeight="12456" xr2:uid="{E9951750-6718-4E65-99C4-7D8C6E70D595}"/>
  </bookViews>
  <sheets>
    <sheet name="Riesgo 1" sheetId="3" r:id="rId1"/>
    <sheet name="Datos" sheetId="5" state="hidden" r:id="rId2"/>
    <sheet name="Instructivo" sheetId="4" r:id="rId3"/>
  </sheets>
  <definedNames>
    <definedName name="_xlnm.Print_Area" localSheetId="0">'Riesgo 1'!$A$1:$AK$21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 l="1"/>
  <c r="V17" i="3"/>
  <c r="S17" i="3"/>
  <c r="V18" i="3"/>
  <c r="S18" i="3"/>
  <c r="S23" i="3" l="1"/>
  <c r="H17" i="3"/>
  <c r="I17" i="3" s="1"/>
  <c r="Z17" i="3" s="1"/>
  <c r="K17" i="3"/>
  <c r="L17" i="3" s="1"/>
  <c r="M17" i="3" s="1"/>
  <c r="S19" i="3"/>
  <c r="V19" i="3"/>
  <c r="S20" i="3"/>
  <c r="V20" i="3"/>
  <c r="S21" i="3"/>
  <c r="V21" i="3"/>
  <c r="V23" i="3"/>
  <c r="V22" i="3"/>
  <c r="S22" i="3"/>
  <c r="K22" i="3"/>
  <c r="L22" i="3" s="1"/>
  <c r="M22" i="3" s="1"/>
  <c r="AD22" i="3" l="1"/>
  <c r="AC22" i="3" s="1"/>
  <c r="AB17" i="3"/>
  <c r="AD21" i="3"/>
  <c r="AC21" i="3" s="1"/>
  <c r="AD17" i="3"/>
  <c r="N17" i="3"/>
  <c r="O17" i="3" s="1"/>
  <c r="N22" i="3"/>
  <c r="O22" i="3" s="1"/>
  <c r="AD23" i="3"/>
  <c r="AC23" i="3" s="1"/>
  <c r="I22" i="3"/>
  <c r="Z22" i="3" s="1"/>
  <c r="AC17" i="3" l="1"/>
  <c r="AD18" i="3"/>
  <c r="AC18" i="3" s="1"/>
  <c r="Z19" i="3"/>
  <c r="AB19" i="3" s="1"/>
  <c r="Z18" i="3"/>
  <c r="AA17" i="3"/>
  <c r="AE17" i="3" s="1"/>
  <c r="AF17" i="3" s="1"/>
  <c r="AD19" i="3"/>
  <c r="AA22" i="3"/>
  <c r="AE22" i="3" s="1"/>
  <c r="AF22" i="3" s="1"/>
  <c r="AB22" i="3"/>
  <c r="Z23" i="3" s="1"/>
  <c r="AB23" i="3" s="1"/>
  <c r="AA19" i="3" l="1"/>
  <c r="AB18" i="3"/>
  <c r="AA18" i="3"/>
  <c r="AE18" i="3" s="1"/>
  <c r="AF18" i="3" s="1"/>
  <c r="AA23" i="3"/>
  <c r="AE23" i="3" s="1"/>
  <c r="AF23" i="3" s="1"/>
  <c r="AC19" i="3"/>
  <c r="AE19" i="3" s="1"/>
  <c r="AF19" i="3" s="1"/>
  <c r="AD20" i="3"/>
  <c r="AC20" i="3" s="1"/>
  <c r="Z20" i="3"/>
  <c r="AA20" i="3" l="1"/>
  <c r="AE20" i="3" s="1"/>
  <c r="AF20" i="3" s="1"/>
  <c r="AB20" i="3"/>
  <c r="Z21" i="3" s="1"/>
  <c r="AA21" i="3" s="1"/>
  <c r="AE21" i="3" s="1"/>
  <c r="AF21" i="3" s="1"/>
  <c r="AB21"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tc={C7318168-5426-4390-ACB4-C61751E81057}</author>
    <author>tc={D7441934-1FF4-45A6-8B20-6F4E8C8A3DA2}</author>
    <author>tc={BEEF7BF7-01B0-46BB-9088-9D540EB0C6C7}</author>
  </authors>
  <commentList>
    <comment ref="G17" authorId="0" shapeId="0" xr:uid="{C7318168-5426-4390-ACB4-C61751E81057}">
      <text>
        <t>[Threaded comment]
Your version of Excel allows you to read this threaded comment; however, any edits to it will get removed if the file is opened in a newer version of Excel. Learn more: https://go.microsoft.com/fwlink/?linkid=870924
Comment:
    Se toma como referencia el numero de procesos  judiciales  en contra de la entidad para el año 2022
Reply:
    Para el año 2024 s etoma como base el numero de procesos judiciales en contra de la entidad 32</t>
      </text>
    </comment>
    <comment ref="J17" authorId="1" shapeId="0" xr:uid="{D7441934-1FF4-45A6-8B20-6F4E8C8A3DA2}">
      <text>
        <t>[Threaded comment]
Your version of Excel allows you to read this threaded comment; however, any edits to it will get removed if the file is opened in a newer version of Excel. Learn more: https://go.microsoft.com/fwlink/?linkid=870924
Comment:
    Se toma como base las pretenciones de los casos que se encuentran con calificación alta dentro del contingente judicial SIPROJ</t>
      </text>
    </comment>
    <comment ref="G22" authorId="2" shapeId="0" xr:uid="{BEEF7BF7-01B0-46BB-9088-9D540EB0C6C7}">
      <text>
        <t>[Threaded comment]
Your version of Excel allows you to read this threaded comment; however, any edits to it will get removed if the file is opened in a newer version of Excel. Learn more: https://go.microsoft.com/fwlink/?linkid=870924
Comment:
    Se toma como base el numero de solicitudes de concepto recibidos en el año 2022</t>
      </text>
    </comment>
  </commentList>
</comments>
</file>

<file path=xl/sharedStrings.xml><?xml version="1.0" encoding="utf-8"?>
<sst xmlns="http://schemas.openxmlformats.org/spreadsheetml/2006/main" count="223" uniqueCount="164">
  <si>
    <t>GESTION JURIDICA</t>
  </si>
  <si>
    <t>CÓDIGO</t>
  </si>
  <si>
    <t>VERSIÓN</t>
  </si>
  <si>
    <t>1 de 2</t>
  </si>
  <si>
    <t>MAPA DE RIESGOS DE GESTIÓN</t>
  </si>
  <si>
    <t>PÁGINA</t>
  </si>
  <si>
    <t>VIGENTE DESDE</t>
  </si>
  <si>
    <t>Proceso</t>
  </si>
  <si>
    <t>Objetivo del Proceso</t>
  </si>
  <si>
    <t>Proteger los intereses y representar a la Entidad en los procesos judiciales, extrajudiciales y /o Administrativos en los que es demandada o demandante a través de la asesoría, asistencia y apoyo en la Defensa Jurídica del Instituto y brindar asesoría jurídica a la Dirección General y a todas las dependencias del IDIPRON que así lo requieran; emitiendo conceptos jurídicos que contribuyan en la conservación de los intereses institucionales</t>
  </si>
  <si>
    <t>Alcance</t>
  </si>
  <si>
    <t>Inicia desde la atención a consultas jurídicas, solicitud de proyección de actos administrativos y/o la recepción de notificaciones de inicio de actuaciones administrativos, procesos judiciales o extrajudiciales en contra o por parte de la Entidad y requerimientos de las autoridades; culmina con la emisión de conceptos jurídicos, actos administrativos y la respuesta y actuación en los procesos en los cuales es parte.</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</si>
  <si>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</si>
  <si>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</si>
  <si>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</si>
  <si>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</si>
  <si>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</si>
  <si>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</si>
  <si>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</si>
  <si>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</si>
  <si>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</si>
  <si>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</si>
  <si>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</si>
  <si>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</si>
  <si>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</si>
  <si>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</si>
  <si>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</si>
  <si>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</si>
  <si>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</si>
  <si>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</si>
  <si>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</si>
  <si>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</si>
  <si>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</si>
  <si>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</si>
  <si>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</si>
  <si>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</si>
  <si>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</si>
  <si>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</si>
  <si>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</si>
  <si>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</si>
  <si>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</si>
  <si>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</si>
  <si>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</si>
  <si>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</si>
  <si>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</si>
  <si>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</si>
  <si>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</si>
  <si>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</si>
  <si>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</si>
  <si>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</si>
  <si>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</si>
  <si>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</si>
  <si>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</si>
  <si>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</si>
  <si>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</si>
  <si>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</si>
  <si>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Económico y Reputacional</t>
  </si>
  <si>
    <t>Condena judicial   en contra de la entidad</t>
  </si>
  <si>
    <t>Omision de defensa técnica del proceso judicial por parte del abogado asignado</t>
  </si>
  <si>
    <t>Posibilidad de afectación económica por condena judicial  en contra de la entidad ocasionada por la omision de defensa técnica del proceso judicial por parte del abogado asignado</t>
  </si>
  <si>
    <t>Afectación Entre 700 y 1500 SMLMV</t>
  </si>
  <si>
    <t>Cada vez que se ajuste la politica distrital del daño antijurídico  la o el  jefe de la Oficina Jurídica realiza las acciones necesarias para adoptar los lineamientos en el Instituto  de la politica de defensa jurídica del distrito capital</t>
  </si>
  <si>
    <t>Preventivo</t>
  </si>
  <si>
    <t>Manual</t>
  </si>
  <si>
    <t>Directiva 006 de 09 junio 2022</t>
  </si>
  <si>
    <t>Cada vez que se ajuste la politica distrital del daño antijurídico</t>
  </si>
  <si>
    <r>
      <rPr>
        <sz val="12"/>
        <rFont val="Times New Roman"/>
        <family val="1"/>
      </rPr>
      <t>Acto administrativo que adopta la Politica Distrital</t>
    </r>
    <r>
      <rPr>
        <strike/>
        <sz val="12"/>
        <rFont val="Times New Roman"/>
        <family val="1"/>
      </rPr>
      <t xml:space="preserve"> </t>
    </r>
  </si>
  <si>
    <t>ACEPTAR EL RIESGO</t>
  </si>
  <si>
    <t>De acuerdo con la.metodologia para la administración del riesgo, no se formulan acciones de fortalecimiento para la vigencia 2024, por cuanto los controles existentes se consideran suficientes y permiten mitigar el riesgo</t>
  </si>
  <si>
    <t>1.N/A Debido a que la politíca aún esta entramite y estudios por lo cual no se ha constatado un documento solido para su publicación.
2, Se realiza el seguimiento de los procesos a traves de reuniones semanales con los abogados de la defensa jurídica y por medio de actas y formatos de asistencia se tiene registro del control, asi mismo se adjunta matriz generada  por el aplicativo Siproj web
3, El supervisor de los contratos realiza la verificación y/o seguimiento al contrato verificando el cumplimiento de las obligaciones por medio de los informes mensuales que estos realizan.
4,Esta actividad se realiza de forma semestral, el ultimo fue realizado en el mes de diciembre. Por lo tanto  a la fecha no se ha desarrollado.
5.N/A debido a que hasta la fecha no se han afectado pagos de sentencias lo que impide el estudio de una acción de repetición de sentencia ya ejecutoriada, lo que imposibilita el estudio de una acción de repetición.</t>
  </si>
  <si>
    <t>N/A</t>
  </si>
  <si>
    <r>
      <rPr>
        <b/>
        <sz val="10"/>
        <color rgb="FF000000"/>
        <rFont val="Times New Roman"/>
      </rPr>
      <t>Control N°1:</t>
    </r>
    <r>
      <rPr>
        <sz val="10"/>
        <color rgb="FF000000"/>
        <rFont val="Times New Roman"/>
      </rPr>
      <t xml:space="preserve"> Se verifica control y se evidencia que a la fecha aun no se ha realizado la actualización de la política de daño antijuridico, dado que se encuentra en trámite, según lo manifestado por el proceso.
</t>
    </r>
    <r>
      <rPr>
        <b/>
        <sz val="10"/>
        <color rgb="FF000000"/>
        <rFont val="Times New Roman"/>
      </rPr>
      <t xml:space="preserve">
Control N°2: </t>
    </r>
    <r>
      <rPr>
        <sz val="10"/>
        <color rgb="FF000000"/>
        <rFont val="Times New Roman"/>
      </rPr>
      <t xml:space="preserve">Se verifica control y el proceso realiza aplicación del mismo realizando seguimiento a los abogados en el Siproj web semanalmente, aportar evidencia del seguimiento mediante acta y matriz generada por siproj web. 
</t>
    </r>
    <r>
      <rPr>
        <b/>
        <sz val="10"/>
        <color rgb="FF000000"/>
        <rFont val="Times New Roman"/>
      </rPr>
      <t xml:space="preserve">
Control N°3:</t>
    </r>
    <r>
      <rPr>
        <sz val="10"/>
        <color rgb="FF000000"/>
        <rFont val="Times New Roman"/>
      </rPr>
      <t xml:space="preserve"> Se verifica control y se evidencia la aplicación del control a través del seguimiento de las actividades de los abogados a través del informe de actividades.
</t>
    </r>
    <r>
      <rPr>
        <b/>
        <sz val="10"/>
        <color rgb="FF000000"/>
        <rFont val="Times New Roman"/>
      </rPr>
      <t xml:space="preserve">
Control N°4: </t>
    </r>
    <r>
      <rPr>
        <sz val="10"/>
        <color rgb="FF000000"/>
        <rFont val="Times New Roman"/>
      </rPr>
      <t xml:space="preserve">El control mencionado no se desarrolla, dado que cuenta con una programación semestral, lo cual su aplicación se evidenciará en el siguiente monitoreo de riesgos.
</t>
    </r>
    <r>
      <rPr>
        <b/>
        <sz val="10"/>
        <color rgb="FF000000"/>
        <rFont val="Times New Roman"/>
      </rPr>
      <t xml:space="preserve">
Control N°5:</t>
    </r>
    <r>
      <rPr>
        <sz val="10"/>
        <color rgb="FF000000"/>
        <rFont val="Times New Roman"/>
      </rPr>
      <t xml:space="preserve"> Se verifica control, la cual el proceso manifiesta que no hubo acciones de repetición.
</t>
    </r>
    <r>
      <rPr>
        <b/>
        <sz val="10"/>
        <color rgb="FF000000"/>
        <rFont val="Times New Roman"/>
      </rPr>
      <t xml:space="preserve">
Acción de fortalecimiento:</t>
    </r>
    <r>
      <rPr>
        <sz val="10"/>
        <color rgb="FF000000"/>
        <rFont val="Times New Roman"/>
      </rPr>
      <t xml:space="preserve"> No cuenta con acciones de fortalecimiento.
</t>
    </r>
    <r>
      <rPr>
        <b/>
        <u/>
        <sz val="10"/>
        <color rgb="FF000000"/>
        <rFont val="Times New Roman"/>
      </rPr>
      <t xml:space="preserve">
Se evidencio que no se materializo el riesgo.</t>
    </r>
  </si>
  <si>
    <t>Control 1. No aplica. Se reportó que durante este periodo no se dio aplicación a la actividad de control. Control 2. Cumple se evidenció la ejecución de la actividad de control. Control 3. . Cumple se evidenció la ejecución de la actividad de control. Control 4. No aplica. Se reportó que durante este periodo no se dio aplicación a la actividad de control. control 5. No aplica. Se reportó que durante este periodo no se dio aplicación a la actividad de control</t>
  </si>
  <si>
    <t xml:space="preserve">Los abogados a cargo de los procesos judiciales y extrajudiciales, mensualmente hacen seguimiento a los procesos judiciales, revisando el estado de los procesos a través del aplicativo de la rama judicial o sistema de seguimiento de procesos, en caso de que se encuentre una novedad, se realizaran las acciones pertinentes y reportando dichas novedades en el SIPROJ </t>
  </si>
  <si>
    <t>Detectivo</t>
  </si>
  <si>
    <t xml:space="preserve">Procedimiento Defensa Judicial A-GJU-PR-002
Acción de Tutela A-GJU-PR-003 </t>
  </si>
  <si>
    <t>Mensual</t>
  </si>
  <si>
    <t>Informes de contingente judicial y/o captura de pantalla de revisión realizada</t>
  </si>
  <si>
    <t xml:space="preserve">El Supervisor de los contratos de abogados externos, mensualmente realiza el seguimiento a la ejecución del contrato de acuerdo con lo establecidos en las obligaciones contractuales y deja constancia en el informe de actividades. </t>
  </si>
  <si>
    <t xml:space="preserve">Manual de Supervisión e Interventoría
Procedimiento Defensa Judicial A-GJU-PR-002
Acción de Tutela A-GJU-PR-003 </t>
  </si>
  <si>
    <t>Informes presentados al supervisor para aprobación</t>
  </si>
  <si>
    <t>El comité de conciliación y defensa judicial, semestralmente hace seguimiento al estado de los procesos y la gestion realizada por los abogados de defensa judicial.</t>
  </si>
  <si>
    <t>Procedimiento Defensa Judicial A-GJU-PR-002
Acción de Tutela A-GJU-PR-003 
Reglamento del Comité de conciliación y Defensa Judicial</t>
  </si>
  <si>
    <t>Semestral</t>
  </si>
  <si>
    <t>Actas de comité</t>
  </si>
  <si>
    <t>El comité de conciliación y defensa judicial, cada vez que hay una condena en contra de la entidad, determina la procedencia o no de la acción de repetición. En caso de que se determine la acción de repetición inicia las gestiones para la protección de los recursos públicos</t>
  </si>
  <si>
    <t>Correctivo</t>
  </si>
  <si>
    <t>Procedimiento Defensa Judicial A-GJU-PR-002
Acción de Tutela A-GJU-PR-003 
Reglamento del Comité de conciliación y Defensa Judicial</t>
  </si>
  <si>
    <t>cada vez que hay una condena en contra de la entidad</t>
  </si>
  <si>
    <t>Sanciones disciplinarias y/o acciones judiciales en contra de la entidad</t>
  </si>
  <si>
    <t>Falta de asesoramiento jurídico que implique el desconocimiento de la normatividad vigente</t>
  </si>
  <si>
    <t xml:space="preserve">Posibilidad de afectación reputacional y/o económico por Sanciones disciplinarias y/o acciones judiciales en contra de la entidad debido a inadecuado asesoramiento jurídico que implique el desconocimiento de la normatividad vigente </t>
  </si>
  <si>
    <t>El riesgo afecta la imagen de algún área de la organización.</t>
  </si>
  <si>
    <t>El o la jefe de la oficina jurídica, cada vez que se emita un concepto por parte de la OJ, valida que la respuesta tenga consonancia con lo que se esta solicitando, que el criterio legal este conforme con el criterio de la entidad y en caso de aprobación  firma el concepto</t>
  </si>
  <si>
    <t>Procedimiento de Asesoría Legal A-GJU-PR-001</t>
  </si>
  <si>
    <t>cada vez que se emita un concepto por parte de la OAJ</t>
  </si>
  <si>
    <t>Concepto emitidio</t>
  </si>
  <si>
    <t>1. Se realiza el concepto sobre el Proyecto del Reglamento de la Comisión del personal del Idipron.
2. En este periodo no se han recibido solicitudes de que difieran de o no tengan consonancia con los criterios legales.</t>
  </si>
  <si>
    <r>
      <t>Control N°1: N</t>
    </r>
    <r>
      <rPr>
        <sz val="10"/>
        <color rgb="FF000000"/>
        <rFont val="Times New Roman"/>
      </rPr>
      <t xml:space="preserve">o se evidencia la aplicación del control, dentro del primer cuatrimestre, dado que los soportes tienen fecha de respuesta del mes mayo de 2025 y no esta dentro de la fechas del monitoreo.
Así mismo, se evidencia que en la descripción del control el proceso no determino cuantos conceptos se recibieron y se dieron respuesta.
</t>
    </r>
    <r>
      <rPr>
        <b/>
        <sz val="10"/>
        <color rgb="FF000000"/>
        <rFont val="Times New Roman"/>
      </rPr>
      <t xml:space="preserve">
Control N°2: </t>
    </r>
    <r>
      <rPr>
        <sz val="10"/>
        <color rgb="FF000000"/>
        <rFont val="Times New Roman"/>
      </rPr>
      <t xml:space="preserve">Se verifica el control y el proceso manifiesta que no presento conceptos diferentes a los criterios legales, sin embargo no aportan el proceso soportes
</t>
    </r>
    <r>
      <rPr>
        <b/>
        <sz val="10"/>
        <color rgb="FF000000"/>
        <rFont val="Times New Roman"/>
      </rPr>
      <t xml:space="preserve">
Acción de fortalecimiento: </t>
    </r>
    <r>
      <rPr>
        <sz val="10"/>
        <color rgb="FF000000"/>
        <rFont val="Times New Roman"/>
      </rPr>
      <t>No cuenta con acciones de fortalecimiento.</t>
    </r>
  </si>
  <si>
    <t xml:space="preserve">Control 1: No cumple. la evidencia aportada no permite verificar ejecución de la actividad de control, debido a que lo aportado como acciones conforme al control, 1. se allega un documento que no es concepto y 2. hay un concepto pero el mismo no corresponde al periodo a evaluar. </t>
  </si>
  <si>
    <t>El o la jefe de la oficina jurídica, En caso de que se detecte un concepto emitido que no tenga consonancia con la solicitud recibida o que el criterio legal difiera con el criterio de la entidad, se  emite un nuevo concepto corrigiendo la interpretacion de manera que se de respuesta satisfactoria a la solicitud</t>
  </si>
  <si>
    <t>En caso de que se detecte un concepto emitido que no tenga consonancia con la solicitud recibida</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</si>
  <si>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</si>
  <si>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</si>
  <si>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</si>
  <si>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</si>
  <si>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</si>
  <si>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</si>
  <si>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</si>
  <si>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</si>
  <si>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</si>
  <si>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</si>
  <si>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</si>
  <si>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</si>
  <si>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Reputacional</t>
  </si>
  <si>
    <t>BAJA</t>
  </si>
  <si>
    <t>MENOR</t>
  </si>
  <si>
    <t>MUY BAJA - MENOR</t>
  </si>
  <si>
    <t>Menor</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</si>
  <si>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</si>
  <si>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</si>
  <si>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</si>
  <si>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</si>
  <si>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</si>
  <si>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</si>
  <si>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</si>
  <si>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</si>
  <si>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</si>
  <si>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</si>
  <si>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</si>
  <si>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</si>
  <si>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</si>
  <si>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</si>
  <si>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</si>
  <si>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</si>
  <si>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</si>
  <si>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</si>
  <si>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</si>
  <si>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</si>
  <si>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</si>
  <si>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BAJA - MAYOR</t>
  </si>
  <si>
    <t>El riesgo afecta la imagen de la entidad internamente, de conocimiento general nivel interno, de junta directiva y/o de proveedores</t>
  </si>
  <si>
    <t>BAJA - CATASTRÓFICO</t>
  </si>
  <si>
    <t>El riesgo afecta la imagen de la entidad con algunos usuarios de relevancia frente al logro de los objetivos.</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</si>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</sst>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20">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8"/>
      <color rgb="FF000000"/>
      <name val="Arial"/>
      <family val="2"/>
    </font>
    <font>
      <strike/>
      <sz val="12"/>
      <name val="Times New Roman"/>
      <family val="1"/>
    </font>
    <font>
      <sz val="14"/>
      <color rgb="FFFF0000"/>
      <name val="Times New Roman"/>
      <family val="1"/>
    </font>
    <font>
      <sz val="10"/>
      <color rgb="FF000000"/>
      <name val="Times New Roman"/>
      <family val="1"/>
    </font>
    <font>
      <b/>
      <sz val="10"/>
      <color rgb="FF000000"/>
      <name val="Times New Roman"/>
      <family val="1"/>
    </font>
    <font>
      <b/>
      <sz val="10"/>
      <color rgb="FF000000"/>
      <name val="Times New Roman"/>
    </font>
    <font>
      <sz val="10"/>
      <color rgb="FF000000"/>
      <name val="Times New Roman"/>
    </font>
    <font>
      <b/>
      <u/>
      <sz val="10"/>
      <color rgb="FF000000"/>
      <name val="Times New Roman"/>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thin">
        <color indexed="64"/>
      </right>
      <top style="thin">
        <color indexed="64"/>
      </top>
      <bottom/>
      <diagonal/>
    </border>
    <border>
      <left style="medium">
        <color rgb="FF000000"/>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000000"/>
      </left>
      <right/>
      <top style="medium">
        <color indexed="64"/>
      </top>
      <bottom/>
      <diagonal/>
    </border>
    <border>
      <left style="medium">
        <color rgb="FF000000"/>
      </left>
      <right/>
      <top/>
      <bottom style="thin">
        <color indexed="64"/>
      </bottom>
      <diagonal/>
    </border>
    <border>
      <left style="thin">
        <color rgb="FF000000"/>
      </left>
      <right style="thin">
        <color indexed="64"/>
      </right>
      <top style="medium">
        <color indexed="64"/>
      </top>
      <bottom style="thin">
        <color rgb="FF000000"/>
      </bottom>
      <diagonal/>
    </border>
    <border>
      <left style="thin">
        <color rgb="FF000000"/>
      </left>
      <right style="thin">
        <color indexed="64"/>
      </right>
      <top style="thin">
        <color rgb="FF000000"/>
      </top>
      <bottom style="thin">
        <color indexed="64"/>
      </bottom>
      <diagonal/>
    </border>
  </borders>
  <cellStyleXfs count="2">
    <xf numFmtId="0" fontId="0" fillId="0" borderId="0"/>
    <xf numFmtId="41" fontId="6" fillId="0" borderId="0" applyFont="0" applyFill="0" applyBorder="0" applyAlignment="0" applyProtection="0"/>
  </cellStyleXfs>
  <cellXfs count="242">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29"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0" xfId="0" applyFont="1" applyFill="1" applyBorder="1" applyAlignment="1">
      <alignment horizontal="center" vertical="center" textRotation="90" wrapText="1"/>
    </xf>
    <xf numFmtId="0" fontId="2" fillId="2" borderId="29"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29" xfId="0" applyFont="1" applyFill="1" applyBorder="1" applyAlignment="1">
      <alignment horizontal="center" vertical="center"/>
    </xf>
    <xf numFmtId="0" fontId="2" fillId="0" borderId="17" xfId="0" applyFont="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2" xfId="0" applyFont="1" applyFill="1" applyBorder="1"/>
    <xf numFmtId="0" fontId="2" fillId="2" borderId="7" xfId="0" applyFont="1" applyFill="1" applyBorder="1"/>
    <xf numFmtId="0" fontId="8" fillId="0" borderId="20" xfId="0" applyFont="1" applyBorder="1" applyAlignment="1">
      <alignment horizontal="center" vertical="center" wrapText="1"/>
    </xf>
    <xf numFmtId="0" fontId="8" fillId="0" borderId="0" xfId="0" applyFont="1" applyAlignment="1">
      <alignment horizontal="center" vertical="center" wrapText="1"/>
    </xf>
    <xf numFmtId="0" fontId="8" fillId="0" borderId="28" xfId="0" applyFont="1" applyBorder="1" applyAlignment="1">
      <alignment horizontal="center" vertical="center" wrapText="1"/>
    </xf>
    <xf numFmtId="0" fontId="2" fillId="0" borderId="1"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35" xfId="0" applyFont="1" applyBorder="1" applyAlignment="1">
      <alignment horizontal="center" vertical="center"/>
    </xf>
    <xf numFmtId="0" fontId="2" fillId="0" borderId="6" xfId="0" applyFont="1" applyBorder="1" applyAlignment="1">
      <alignment horizontal="center" vertical="center" textRotation="90"/>
    </xf>
    <xf numFmtId="0" fontId="2" fillId="0" borderId="6" xfId="0" applyFont="1" applyBorder="1" applyAlignment="1">
      <alignment horizontal="center" vertical="center" textRotation="90" wrapText="1"/>
    </xf>
    <xf numFmtId="0" fontId="2" fillId="0" borderId="20" xfId="0" applyFont="1" applyBorder="1" applyAlignment="1">
      <alignment horizontal="left"/>
    </xf>
    <xf numFmtId="0" fontId="2" fillId="0" borderId="10" xfId="0" applyFont="1" applyBorder="1" applyAlignment="1">
      <alignment horizontal="center" vertical="center" textRotation="90"/>
    </xf>
    <xf numFmtId="0" fontId="2" fillId="0" borderId="10" xfId="0" applyFont="1" applyBorder="1" applyAlignment="1">
      <alignment horizontal="center" vertical="center" textRotation="90" wrapText="1"/>
    </xf>
    <xf numFmtId="0" fontId="2" fillId="0" borderId="28" xfId="0" applyFont="1" applyBorder="1" applyAlignment="1">
      <alignment horizontal="left"/>
    </xf>
    <xf numFmtId="0" fontId="2" fillId="2" borderId="30" xfId="0" applyFont="1" applyFill="1" applyBorder="1" applyAlignment="1">
      <alignment horizontal="center" vertical="center" wrapText="1"/>
    </xf>
    <xf numFmtId="0" fontId="11" fillId="0" borderId="0" xfId="0" applyFont="1"/>
    <xf numFmtId="0" fontId="4" fillId="0" borderId="0" xfId="0" applyFont="1"/>
    <xf numFmtId="0" fontId="11" fillId="2" borderId="29"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29" xfId="0" applyFont="1" applyBorder="1" applyAlignment="1">
      <alignment horizontal="center" vertical="center"/>
    </xf>
    <xf numFmtId="0" fontId="2" fillId="0" borderId="5" xfId="0" applyFont="1" applyBorder="1" applyAlignment="1">
      <alignment horizontal="center" vertical="center" textRotation="90"/>
    </xf>
    <xf numFmtId="0" fontId="2" fillId="0" borderId="5" xfId="0" applyFont="1" applyBorder="1" applyAlignment="1">
      <alignment horizontal="center" vertical="center" textRotation="90" wrapText="1"/>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164"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4"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164" fontId="2" fillId="4" borderId="6" xfId="0" applyNumberFormat="1" applyFont="1" applyFill="1" applyBorder="1" applyAlignment="1">
      <alignment horizontal="center" vertical="center"/>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4" borderId="6" xfId="0" applyFont="1" applyFill="1" applyBorder="1" applyAlignment="1">
      <alignment vertical="center" textRotation="90"/>
    </xf>
    <xf numFmtId="3" fontId="0" fillId="0" borderId="0" xfId="0" applyNumberFormat="1"/>
    <xf numFmtId="0" fontId="2" fillId="0" borderId="16" xfId="0" applyFont="1" applyBorder="1" applyAlignment="1">
      <alignment horizontal="justify" vertical="center" wrapText="1"/>
    </xf>
    <xf numFmtId="0" fontId="9" fillId="0" borderId="1" xfId="0" applyFont="1" applyBorder="1" applyAlignment="1">
      <alignment horizontal="center" vertical="center" textRotation="90"/>
    </xf>
    <xf numFmtId="0" fontId="2" fillId="0" borderId="42" xfId="0" applyFont="1" applyBorder="1" applyAlignment="1">
      <alignment horizontal="center" vertical="center" textRotation="90" wrapText="1"/>
    </xf>
    <xf numFmtId="0" fontId="9" fillId="0" borderId="10" xfId="0" applyFont="1" applyBorder="1" applyAlignment="1">
      <alignment horizontal="justify" vertical="center" wrapText="1"/>
    </xf>
    <xf numFmtId="0" fontId="13" fillId="0" borderId="10" xfId="0" applyFont="1" applyBorder="1" applyAlignment="1">
      <alignment horizontal="center" vertical="center" textRotation="90" wrapText="1"/>
    </xf>
    <xf numFmtId="0" fontId="2" fillId="0" borderId="47" xfId="0" applyFont="1" applyBorder="1" applyAlignment="1">
      <alignment horizontal="center" vertical="center" textRotation="90" wrapText="1"/>
    </xf>
    <xf numFmtId="0" fontId="9" fillId="0" borderId="10" xfId="0" applyFont="1" applyBorder="1" applyAlignment="1">
      <alignment horizontal="center" vertical="center" textRotation="90" wrapText="1"/>
    </xf>
    <xf numFmtId="0" fontId="9" fillId="0" borderId="1" xfId="0" applyFont="1" applyBorder="1" applyAlignment="1">
      <alignment horizontal="justify" vertical="center" wrapText="1"/>
    </xf>
    <xf numFmtId="0" fontId="9" fillId="0" borderId="6" xfId="0" applyFont="1" applyBorder="1" applyAlignment="1">
      <alignment horizontal="justify" vertical="center" wrapText="1"/>
    </xf>
    <xf numFmtId="0" fontId="0" fillId="0" borderId="0" xfId="0" applyAlignment="1">
      <alignment vertical="top"/>
    </xf>
    <xf numFmtId="0" fontId="4" fillId="0" borderId="0" xfId="0" applyFont="1" applyAlignment="1">
      <alignment vertical="top"/>
    </xf>
    <xf numFmtId="0" fontId="11" fillId="0" borderId="0" xfId="0" applyFont="1" applyAlignment="1">
      <alignment vertical="top"/>
    </xf>
    <xf numFmtId="0" fontId="0" fillId="0" borderId="7" xfId="0" applyBorder="1" applyAlignment="1">
      <alignment vertical="top"/>
    </xf>
    <xf numFmtId="0" fontId="11" fillId="0" borderId="7" xfId="0" applyFont="1" applyBorder="1" applyAlignment="1">
      <alignment vertical="top"/>
    </xf>
    <xf numFmtId="0" fontId="11" fillId="2" borderId="8" xfId="0" applyFont="1" applyFill="1" applyBorder="1" applyAlignment="1">
      <alignment horizontal="center" vertical="center" wrapText="1"/>
    </xf>
    <xf numFmtId="0" fontId="11" fillId="0" borderId="20" xfId="0" applyFont="1" applyBorder="1" applyAlignment="1">
      <alignment vertical="top"/>
    </xf>
    <xf numFmtId="0" fontId="1" fillId="5" borderId="12" xfId="0" applyFont="1" applyFill="1" applyBorder="1" applyAlignment="1">
      <alignment horizontal="center" vertical="center" textRotation="90"/>
    </xf>
    <xf numFmtId="0" fontId="1" fillId="5" borderId="14" xfId="0" applyFont="1" applyFill="1" applyBorder="1" applyAlignment="1">
      <alignment horizontal="center" vertical="center" textRotation="90"/>
    </xf>
    <xf numFmtId="0" fontId="2" fillId="0" borderId="34" xfId="0" applyFont="1" applyBorder="1" applyAlignment="1">
      <alignment horizontal="center" vertical="top" wrapText="1"/>
    </xf>
    <xf numFmtId="0" fontId="2" fillId="0" borderId="35" xfId="0" applyFont="1" applyBorder="1" applyAlignment="1">
      <alignment horizontal="center" vertical="top" wrapText="1"/>
    </xf>
    <xf numFmtId="0" fontId="2" fillId="0" borderId="31" xfId="0" applyFont="1" applyBorder="1" applyAlignment="1">
      <alignment horizontal="center" vertical="top" wrapText="1"/>
    </xf>
    <xf numFmtId="0" fontId="2" fillId="0" borderId="6" xfId="0" applyFont="1" applyBorder="1" applyAlignment="1">
      <alignment horizontal="center" vertical="top" wrapText="1"/>
    </xf>
    <xf numFmtId="14" fontId="2" fillId="0" borderId="37" xfId="0" applyNumberFormat="1" applyFont="1" applyBorder="1" applyAlignment="1">
      <alignment horizontal="center" vertical="top" wrapText="1"/>
    </xf>
    <xf numFmtId="14" fontId="2" fillId="0" borderId="12" xfId="0" applyNumberFormat="1" applyFont="1" applyBorder="1" applyAlignment="1">
      <alignment horizontal="center" vertical="top" wrapText="1"/>
    </xf>
    <xf numFmtId="14" fontId="11" fillId="0" borderId="8" xfId="0" applyNumberFormat="1" applyFont="1" applyBorder="1" applyAlignment="1" applyProtection="1">
      <alignment horizontal="center" vertical="center"/>
      <protection locked="0"/>
    </xf>
    <xf numFmtId="0" fontId="11" fillId="0" borderId="35" xfId="0" applyFont="1" applyBorder="1" applyAlignment="1" applyProtection="1">
      <alignment horizontal="center" vertical="center"/>
      <protection locked="0"/>
    </xf>
    <xf numFmtId="0" fontId="11" fillId="0" borderId="8" xfId="0" applyFont="1" applyBorder="1" applyAlignment="1" applyProtection="1">
      <alignment horizontal="center" vertical="center" wrapText="1"/>
      <protection locked="0"/>
    </xf>
    <xf numFmtId="0" fontId="11" fillId="0" borderId="35" xfId="0" applyFont="1" applyBorder="1" applyAlignment="1" applyProtection="1">
      <alignment horizontal="center" vertical="center" wrapText="1"/>
      <protection locked="0"/>
    </xf>
    <xf numFmtId="0" fontId="3" fillId="0" borderId="17"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4" fillId="3" borderId="10" xfId="0" applyFont="1" applyFill="1" applyBorder="1" applyAlignment="1">
      <alignment horizontal="center" vertical="center"/>
    </xf>
    <xf numFmtId="0" fontId="14" fillId="3" borderId="1"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1" xfId="0" applyFont="1" applyFill="1" applyBorder="1" applyAlignment="1">
      <alignment horizontal="center" vertical="center"/>
    </xf>
    <xf numFmtId="9" fontId="3" fillId="4" borderId="10" xfId="0" applyNumberFormat="1" applyFont="1" applyFill="1" applyBorder="1" applyAlignment="1">
      <alignment horizontal="center" vertical="center"/>
    </xf>
    <xf numFmtId="9" fontId="3" fillId="4" borderId="1" xfId="0" applyNumberFormat="1" applyFont="1" applyFill="1" applyBorder="1" applyAlignment="1">
      <alignment horizontal="center" vertical="center"/>
    </xf>
    <xf numFmtId="9" fontId="3" fillId="0" borderId="9" xfId="0" applyNumberFormat="1" applyFont="1" applyBorder="1" applyAlignment="1">
      <alignment horizontal="center" vertical="center" wrapText="1"/>
    </xf>
    <xf numFmtId="9" fontId="3" fillId="0" borderId="6" xfId="0" applyNumberFormat="1" applyFont="1" applyBorder="1" applyAlignment="1">
      <alignment horizontal="center" vertical="center" wrapText="1"/>
    </xf>
    <xf numFmtId="41" fontId="3" fillId="0" borderId="9" xfId="1" applyFont="1" applyBorder="1" applyAlignment="1">
      <alignment horizontal="center" vertical="center" wrapText="1"/>
    </xf>
    <xf numFmtId="41" fontId="3" fillId="0" borderId="6" xfId="1" applyFont="1" applyBorder="1" applyAlignment="1">
      <alignment horizontal="center" vertical="center" wrapText="1"/>
    </xf>
    <xf numFmtId="9" fontId="3" fillId="4" borderId="9" xfId="0" applyNumberFormat="1" applyFont="1" applyFill="1" applyBorder="1" applyAlignment="1">
      <alignment horizontal="center" vertical="center"/>
    </xf>
    <xf numFmtId="9" fontId="3" fillId="4" borderId="6" xfId="0" applyNumberFormat="1" applyFont="1" applyFill="1" applyBorder="1" applyAlignment="1">
      <alignment horizontal="center" vertical="center"/>
    </xf>
    <xf numFmtId="0" fontId="10" fillId="4" borderId="9" xfId="0" applyFont="1" applyFill="1" applyBorder="1" applyAlignment="1">
      <alignment horizontal="center" vertical="center" textRotation="90"/>
    </xf>
    <xf numFmtId="0" fontId="10" fillId="4" borderId="6" xfId="0" applyFont="1" applyFill="1" applyBorder="1" applyAlignment="1">
      <alignment horizontal="center" vertical="center" textRotation="90"/>
    </xf>
    <xf numFmtId="0" fontId="17" fillId="0" borderId="49" xfId="0" applyFont="1" applyBorder="1" applyAlignment="1">
      <alignment horizontal="center" vertical="center" wrapText="1"/>
    </xf>
    <xf numFmtId="0" fontId="16" fillId="0" borderId="50" xfId="0" applyFont="1" applyBorder="1" applyAlignment="1">
      <alignment horizontal="center" vertical="center" wrapText="1"/>
    </xf>
    <xf numFmtId="0" fontId="12" fillId="0" borderId="45" xfId="0" applyFont="1" applyBorder="1" applyAlignment="1">
      <alignment horizontal="center" vertical="top" wrapText="1"/>
    </xf>
    <xf numFmtId="0" fontId="12" fillId="0" borderId="46" xfId="0" applyFont="1" applyBorder="1" applyAlignment="1">
      <alignment horizontal="center" vertical="top" wrapText="1"/>
    </xf>
    <xf numFmtId="0" fontId="12" fillId="0" borderId="51" xfId="0" applyFont="1" applyBorder="1" applyAlignment="1">
      <alignment horizontal="center" vertical="top" wrapText="1"/>
    </xf>
    <xf numFmtId="0" fontId="12" fillId="0" borderId="52" xfId="0" applyFont="1" applyBorder="1" applyAlignment="1">
      <alignment horizontal="center" vertical="top" wrapText="1"/>
    </xf>
    <xf numFmtId="0" fontId="15" fillId="0" borderId="8" xfId="0" applyFont="1" applyBorder="1" applyAlignment="1" applyProtection="1">
      <alignment horizontal="center" vertical="center"/>
      <protection locked="0"/>
    </xf>
    <xf numFmtId="0" fontId="15" fillId="0" borderId="35" xfId="0" applyFont="1" applyBorder="1" applyAlignment="1" applyProtection="1">
      <alignment horizontal="center" vertical="center"/>
      <protection locked="0"/>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3" xfId="0" applyFont="1" applyFill="1" applyBorder="1" applyAlignment="1">
      <alignment horizontal="center" vertical="center"/>
    </xf>
    <xf numFmtId="14" fontId="11" fillId="0" borderId="39" xfId="0" applyNumberFormat="1" applyFont="1" applyBorder="1" applyAlignment="1" applyProtection="1">
      <alignment horizontal="center" vertical="center" wrapText="1"/>
      <protection locked="0"/>
    </xf>
    <xf numFmtId="14" fontId="11" fillId="0" borderId="40" xfId="0" applyNumberFormat="1" applyFont="1" applyBorder="1" applyAlignment="1" applyProtection="1">
      <alignment horizontal="center" vertical="center"/>
      <protection locked="0"/>
    </xf>
    <xf numFmtId="0" fontId="11" fillId="0" borderId="40" xfId="0" applyFont="1" applyBorder="1" applyAlignment="1" applyProtection="1">
      <alignment horizontal="center" vertical="center"/>
      <protection locked="0"/>
    </xf>
    <xf numFmtId="0" fontId="11" fillId="0" borderId="39" xfId="0" applyFont="1" applyBorder="1" applyAlignment="1" applyProtection="1">
      <alignment horizontal="center" vertical="center" wrapText="1"/>
      <protection locked="0"/>
    </xf>
    <xf numFmtId="0" fontId="11" fillId="0" borderId="40" xfId="0" applyFont="1" applyBorder="1" applyAlignment="1" applyProtection="1">
      <alignment horizontal="center" vertical="center" wrapText="1"/>
      <protection locked="0"/>
    </xf>
    <xf numFmtId="0" fontId="11" fillId="0" borderId="29" xfId="0" applyFont="1" applyBorder="1" applyAlignment="1" applyProtection="1">
      <alignment horizontal="center" vertical="center"/>
      <protection locked="0"/>
    </xf>
    <xf numFmtId="0" fontId="11" fillId="0" borderId="34" xfId="0" applyFont="1" applyBorder="1" applyAlignment="1" applyProtection="1">
      <alignment horizontal="center" vertical="center"/>
      <protection locked="0"/>
    </xf>
    <xf numFmtId="0" fontId="17" fillId="0" borderId="43" xfId="0" applyFont="1" applyBorder="1" applyAlignment="1">
      <alignment horizontal="center" vertical="center" wrapText="1"/>
    </xf>
    <xf numFmtId="0" fontId="16" fillId="0" borderId="44" xfId="0" applyFont="1" applyBorder="1" applyAlignment="1">
      <alignment horizontal="center" vertical="center" wrapText="1"/>
    </xf>
    <xf numFmtId="0" fontId="15" fillId="0" borderId="39" xfId="0" applyFont="1" applyBorder="1" applyAlignment="1" applyProtection="1">
      <alignment horizontal="center" vertical="center" wrapText="1"/>
      <protection locked="0"/>
    </xf>
    <xf numFmtId="0" fontId="15" fillId="0" borderId="40" xfId="0" applyFont="1" applyBorder="1" applyAlignment="1" applyProtection="1">
      <alignment horizontal="center" vertical="center" wrapText="1"/>
      <protection locked="0"/>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9" fontId="3" fillId="4" borderId="31"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0" fontId="3" fillId="3" borderId="9"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5" fillId="3" borderId="9" xfId="0" applyFont="1" applyFill="1" applyBorder="1" applyAlignment="1">
      <alignment horizontal="center" vertical="center"/>
    </xf>
    <xf numFmtId="0" fontId="5" fillId="3" borderId="31" xfId="0" applyFont="1" applyFill="1" applyBorder="1" applyAlignment="1">
      <alignment horizontal="center" vertical="center"/>
    </xf>
    <xf numFmtId="0" fontId="5" fillId="3" borderId="32"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31" xfId="0" applyFont="1" applyFill="1" applyBorder="1" applyAlignment="1">
      <alignment horizontal="center" vertical="center"/>
    </xf>
    <xf numFmtId="0" fontId="3" fillId="4" borderId="32" xfId="0" applyFont="1" applyFill="1" applyBorder="1" applyAlignment="1">
      <alignment horizontal="center" vertical="center"/>
    </xf>
    <xf numFmtId="0" fontId="10" fillId="4" borderId="31" xfId="0" applyFont="1" applyFill="1" applyBorder="1" applyAlignment="1">
      <alignment horizontal="center" vertical="center" textRotation="90"/>
    </xf>
    <xf numFmtId="0" fontId="10" fillId="4" borderId="32" xfId="0" applyFont="1" applyFill="1" applyBorder="1" applyAlignment="1">
      <alignment horizontal="center" vertical="center" textRotation="90"/>
    </xf>
    <xf numFmtId="9" fontId="5" fillId="0" borderId="9" xfId="0" applyNumberFormat="1" applyFont="1" applyBorder="1" applyAlignment="1">
      <alignment horizontal="center" vertical="center" wrapText="1"/>
    </xf>
    <xf numFmtId="9" fontId="5" fillId="0" borderId="31" xfId="0" applyNumberFormat="1" applyFont="1" applyBorder="1" applyAlignment="1">
      <alignment horizontal="center" vertical="center" wrapText="1"/>
    </xf>
    <xf numFmtId="9" fontId="5" fillId="0" borderId="32"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0" xfId="0" applyFont="1" applyAlignment="1">
      <alignment horizontal="center" vertical="center" wrapText="1"/>
    </xf>
    <xf numFmtId="0" fontId="8"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4"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8" xfId="0" applyFont="1" applyBorder="1" applyAlignment="1">
      <alignment horizontal="center" vertical="center" wrapText="1"/>
    </xf>
    <xf numFmtId="0" fontId="2" fillId="0" borderId="19" xfId="0" applyFont="1" applyBorder="1" applyAlignment="1">
      <alignment horizontal="center"/>
    </xf>
    <xf numFmtId="0" fontId="2" fillId="0" borderId="21" xfId="0" applyFont="1" applyBorder="1" applyAlignment="1">
      <alignment horizontal="center"/>
    </xf>
    <xf numFmtId="0" fontId="2" fillId="0" borderId="27" xfId="0" applyFont="1" applyBorder="1" applyAlignment="1">
      <alignment horizontal="center"/>
    </xf>
    <xf numFmtId="0" fontId="2" fillId="0" borderId="24" xfId="0" applyFont="1" applyBorder="1" applyAlignment="1">
      <alignment horizont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34" xfId="0" applyFont="1" applyBorder="1" applyAlignment="1">
      <alignment horizontal="center" vertical="center"/>
    </xf>
    <xf numFmtId="0" fontId="3" fillId="0" borderId="36" xfId="0" applyFont="1" applyBorder="1" applyAlignment="1">
      <alignment horizontal="center" vertic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5" fillId="0" borderId="48" xfId="0" applyFont="1" applyBorder="1" applyAlignment="1" applyProtection="1">
      <alignment horizontal="center" vertical="center" wrapText="1"/>
      <protection locked="0"/>
    </xf>
    <xf numFmtId="0" fontId="15" fillId="0" borderId="41" xfId="0" applyFont="1" applyBorder="1" applyAlignment="1" applyProtection="1">
      <alignment horizontal="center" vertical="center" wrapText="1"/>
      <protection locked="0"/>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41" fontId="3" fillId="0" borderId="31" xfId="1" applyFont="1" applyBorder="1" applyAlignment="1">
      <alignment horizontal="center" vertical="center" wrapText="1"/>
    </xf>
    <xf numFmtId="41" fontId="3" fillId="0" borderId="32" xfId="1" applyFont="1" applyBorder="1" applyAlignment="1">
      <alignment horizontal="center" vertical="center" wrapText="1"/>
    </xf>
    <xf numFmtId="14" fontId="2" fillId="0" borderId="11" xfId="0" applyNumberFormat="1" applyFont="1" applyBorder="1" applyAlignment="1">
      <alignment horizontal="center" vertical="top" wrapText="1"/>
    </xf>
    <xf numFmtId="14" fontId="2" fillId="0" borderId="38" xfId="0" applyNumberFormat="1" applyFont="1" applyBorder="1" applyAlignment="1">
      <alignment horizontal="center" vertical="top" wrapText="1"/>
    </xf>
    <xf numFmtId="0" fontId="2" fillId="0" borderId="9" xfId="0" applyFont="1" applyBorder="1" applyAlignment="1">
      <alignment horizontal="center" vertical="top" wrapText="1"/>
    </xf>
    <xf numFmtId="0" fontId="2" fillId="0" borderId="32" xfId="0" applyFont="1" applyBorder="1" applyAlignment="1">
      <alignment horizontal="center" vertical="top" wrapText="1"/>
    </xf>
    <xf numFmtId="0" fontId="2" fillId="0" borderId="8" xfId="0" applyFont="1" applyBorder="1" applyAlignment="1">
      <alignment horizontal="center" vertical="top" wrapText="1"/>
    </xf>
    <xf numFmtId="0" fontId="2" fillId="0" borderId="36" xfId="0" applyFont="1" applyBorder="1" applyAlignment="1">
      <alignment horizontal="center" vertical="top" wrapText="1"/>
    </xf>
    <xf numFmtId="0" fontId="1" fillId="5" borderId="11" xfId="0" applyFont="1" applyFill="1" applyBorder="1" applyAlignment="1">
      <alignment horizontal="center" vertical="center" textRotation="90"/>
    </xf>
    <xf numFmtId="0" fontId="1" fillId="5" borderId="37" xfId="0" applyFont="1" applyFill="1" applyBorder="1" applyAlignment="1">
      <alignment horizontal="center" vertical="center" textRotation="90"/>
    </xf>
    <xf numFmtId="0" fontId="1" fillId="5" borderId="38" xfId="0" applyFont="1" applyFill="1" applyBorder="1" applyAlignment="1">
      <alignment horizontal="center" vertical="center" textRotation="90"/>
    </xf>
    <xf numFmtId="0" fontId="9" fillId="0" borderId="2" xfId="0" applyFont="1" applyBorder="1" applyAlignment="1">
      <alignment horizontal="justify" vertical="center" wrapText="1"/>
    </xf>
    <xf numFmtId="0" fontId="9" fillId="0" borderId="3" xfId="0" applyFont="1" applyBorder="1" applyAlignment="1">
      <alignment horizontal="justify" vertical="center" wrapText="1"/>
    </xf>
    <xf numFmtId="0" fontId="9" fillId="0" borderId="4"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5" fillId="0" borderId="9" xfId="0" applyFont="1" applyBorder="1" applyAlignment="1">
      <alignment horizontal="center" vertical="center" wrapText="1"/>
    </xf>
    <xf numFmtId="0" fontId="1" fillId="2" borderId="17"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cellXfs>
  <cellStyles count="2">
    <cellStyle name="Millares [0]" xfId="1" builtinId="6"/>
    <cellStyle name="Normal" xfId="0" builtinId="0"/>
  </cellStyles>
  <dxfs count="33">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30125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272C6038-311D-4B2F-AECB-F59B9BA925C1}"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3-03-27T14:21:48.91" personId="{272C6038-311D-4B2F-AECB-F59B9BA925C1}" id="{C7318168-5426-4390-ACB4-C61751E81057}">
    <text>Se toma como referencia el numero de procesos  judiciales  en contra de la entidad para el año 2022</text>
  </threadedComment>
  <threadedComment ref="G17" dT="2024-02-29T19:31:51.57" personId="{272C6038-311D-4B2F-AECB-F59B9BA925C1}" id="{8F76ED33-A5FC-434A-BCDC-A1A84D6415AF}" parentId="{C7318168-5426-4390-ACB4-C61751E81057}">
    <text>Para el año 2024 s etoma como base el numero de procesos judiciales en contra de la entidad 32</text>
  </threadedComment>
  <threadedComment ref="J17" dT="2022-04-19T19:29:54.96" personId="{272C6038-311D-4B2F-AECB-F59B9BA925C1}" id="{D7441934-1FF4-45A6-8B20-6F4E8C8A3DA2}">
    <text>Se toma como base las pretenciones de los casos que se encuentran con calificación alta dentro del contingente judicial SIPROJ</text>
  </threadedComment>
  <threadedComment ref="G22" dT="2023-03-27T14:22:44.61" personId="{272C6038-311D-4B2F-AECB-F59B9BA925C1}" id="{BEEF7BF7-01B0-46BB-9088-9D540EB0C6C7}">
    <text>Se toma como base el numero de solicitudes de concepto recibidos en el año 2022</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DD74B-D3D9-46FB-9DAF-7C0A11A88DD8}">
  <dimension ref="A1:BF29"/>
  <sheetViews>
    <sheetView showGridLines="0" tabSelected="1" topLeftCell="AP3" zoomScale="57" zoomScaleNormal="57" zoomScaleSheetLayoutView="90" workbookViewId="0">
      <selection activeCell="AV21" sqref="AV21"/>
    </sheetView>
  </sheetViews>
  <sheetFormatPr defaultColWidth="11.42578125" defaultRowHeight="15.6"/>
  <cols>
    <col min="2" max="2" width="27.140625" customWidth="1"/>
    <col min="3" max="3" width="26" customWidth="1"/>
    <col min="4" max="4" width="19.140625" customWidth="1"/>
    <col min="5" max="6" width="25.42578125"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4" width="11.42578125" style="1" customWidth="1"/>
    <col min="25" max="25" width="12.42578125" style="1" customWidth="1"/>
    <col min="26" max="28" width="7.2851562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1" customWidth="1"/>
    <col min="39" max="39" width="19.7109375" customWidth="1"/>
    <col min="40" max="40" width="45.42578125" customWidth="1"/>
    <col min="41" max="43" width="45" customWidth="1"/>
    <col min="44" max="44" width="1" customWidth="1"/>
    <col min="45" max="46" width="45" customWidth="1"/>
    <col min="58" max="58" width="14.7109375" bestFit="1" customWidth="1"/>
  </cols>
  <sheetData>
    <row r="1" spans="1:46" ht="15.75" customHeight="1">
      <c r="A1" s="181"/>
      <c r="B1" s="182"/>
      <c r="C1" s="187" t="s">
        <v>0</v>
      </c>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9"/>
      <c r="AE1" s="33"/>
      <c r="AF1" s="181" t="s">
        <v>1</v>
      </c>
      <c r="AG1" s="196"/>
      <c r="AH1" s="198"/>
      <c r="AI1" s="199"/>
      <c r="AJ1"/>
      <c r="AK1"/>
    </row>
    <row r="2" spans="1:46" ht="15.75" customHeight="1" thickBot="1">
      <c r="A2" s="183"/>
      <c r="B2" s="184"/>
      <c r="C2" s="190"/>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2"/>
      <c r="AE2" s="34"/>
      <c r="AF2" s="185"/>
      <c r="AG2" s="197"/>
      <c r="AH2" s="200"/>
      <c r="AI2" s="201"/>
      <c r="AJ2"/>
      <c r="AK2"/>
    </row>
    <row r="3" spans="1:46" ht="15.75" customHeight="1">
      <c r="A3" s="183"/>
      <c r="B3" s="184"/>
      <c r="C3" s="190"/>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2"/>
      <c r="AE3" s="34"/>
      <c r="AF3" s="183" t="s">
        <v>2</v>
      </c>
      <c r="AG3" s="202"/>
      <c r="AH3" s="183" t="s">
        <v>3</v>
      </c>
      <c r="AI3" s="184"/>
      <c r="AJ3"/>
      <c r="AK3"/>
    </row>
    <row r="4" spans="1:46" ht="16.5" customHeight="1" thickBot="1">
      <c r="A4" s="183"/>
      <c r="B4" s="184"/>
      <c r="C4" s="193"/>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5"/>
      <c r="AE4" s="34"/>
      <c r="AF4" s="183"/>
      <c r="AG4" s="202"/>
      <c r="AH4" s="183"/>
      <c r="AI4" s="184"/>
      <c r="AJ4"/>
      <c r="AK4"/>
    </row>
    <row r="5" spans="1:46" ht="20.45">
      <c r="A5" s="183"/>
      <c r="B5" s="184"/>
      <c r="C5" s="187" t="s">
        <v>4</v>
      </c>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9"/>
      <c r="AE5" s="33"/>
      <c r="AF5" s="181" t="s">
        <v>5</v>
      </c>
      <c r="AG5" s="196"/>
      <c r="AH5" s="198"/>
      <c r="AI5" s="199"/>
      <c r="AJ5"/>
      <c r="AK5"/>
    </row>
    <row r="6" spans="1:46" ht="20.45">
      <c r="A6" s="183"/>
      <c r="B6" s="184"/>
      <c r="C6" s="190"/>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2"/>
      <c r="AE6" s="34"/>
      <c r="AF6" s="185"/>
      <c r="AG6" s="197"/>
      <c r="AH6" s="200"/>
      <c r="AI6" s="201"/>
      <c r="AJ6"/>
      <c r="AK6"/>
    </row>
    <row r="7" spans="1:46" ht="15.75" customHeight="1">
      <c r="A7" s="183"/>
      <c r="B7" s="184"/>
      <c r="C7" s="190"/>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2"/>
      <c r="AE7" s="34"/>
      <c r="AF7" s="181" t="s">
        <v>6</v>
      </c>
      <c r="AG7" s="196"/>
      <c r="AH7" s="198"/>
      <c r="AI7" s="199"/>
      <c r="AJ7"/>
      <c r="AK7"/>
    </row>
    <row r="8" spans="1:46" ht="16.5" customHeight="1" thickBot="1">
      <c r="A8" s="185"/>
      <c r="B8" s="186"/>
      <c r="C8" s="193"/>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5"/>
      <c r="AE8" s="35"/>
      <c r="AF8" s="185"/>
      <c r="AG8" s="197"/>
      <c r="AH8" s="200"/>
      <c r="AI8" s="201"/>
      <c r="AJ8"/>
      <c r="AK8"/>
    </row>
    <row r="10" spans="1:46" ht="54" customHeight="1">
      <c r="A10" s="212" t="s">
        <v>7</v>
      </c>
      <c r="B10" s="212"/>
      <c r="C10" s="212"/>
      <c r="D10" s="213" t="s">
        <v>0</v>
      </c>
      <c r="E10" s="214"/>
      <c r="F10" s="214"/>
      <c r="G10" s="214"/>
      <c r="H10" s="214"/>
      <c r="I10" s="214"/>
      <c r="J10" s="214"/>
      <c r="K10" s="214"/>
      <c r="L10" s="214"/>
      <c r="M10" s="215"/>
      <c r="N10" s="29"/>
      <c r="AG10" s="1"/>
      <c r="AH10" s="1"/>
      <c r="AI10" s="1"/>
    </row>
    <row r="11" spans="1:46" s="3" customFormat="1" ht="75" customHeight="1">
      <c r="A11" s="212" t="s">
        <v>8</v>
      </c>
      <c r="B11" s="212"/>
      <c r="C11" s="212"/>
      <c r="D11" s="227" t="s">
        <v>9</v>
      </c>
      <c r="E11" s="228"/>
      <c r="F11" s="228"/>
      <c r="G11" s="228"/>
      <c r="H11" s="228"/>
      <c r="I11" s="228"/>
      <c r="J11" s="228"/>
      <c r="K11" s="228"/>
      <c r="L11" s="228"/>
      <c r="M11" s="229"/>
      <c r="N11" s="30"/>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75" customHeight="1">
      <c r="A12" s="212" t="s">
        <v>10</v>
      </c>
      <c r="B12" s="212"/>
      <c r="C12" s="212"/>
      <c r="D12" s="230" t="s">
        <v>11</v>
      </c>
      <c r="E12" s="231"/>
      <c r="F12" s="231"/>
      <c r="G12" s="231"/>
      <c r="H12" s="231"/>
      <c r="I12" s="231"/>
      <c r="J12" s="231"/>
      <c r="K12" s="231"/>
      <c r="L12" s="231"/>
      <c r="M12" s="232"/>
      <c r="N12" s="30"/>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234" t="s">
        <v>12</v>
      </c>
      <c r="B14" s="235"/>
      <c r="C14" s="235"/>
      <c r="D14" s="235"/>
      <c r="E14" s="235"/>
      <c r="F14" s="235"/>
      <c r="G14" s="235"/>
      <c r="H14" s="235"/>
      <c r="I14" s="235"/>
      <c r="J14" s="235"/>
      <c r="K14" s="235"/>
      <c r="L14" s="235"/>
      <c r="M14" s="235"/>
      <c r="N14" s="236"/>
      <c r="O14" s="237"/>
      <c r="P14" s="2"/>
      <c r="Q14" s="206" t="s">
        <v>13</v>
      </c>
      <c r="R14" s="207"/>
      <c r="S14" s="207"/>
      <c r="T14" s="208"/>
      <c r="U14" s="208"/>
      <c r="V14" s="208"/>
      <c r="W14" s="208"/>
      <c r="X14" s="208"/>
      <c r="Y14" s="208"/>
      <c r="Z14" s="207"/>
      <c r="AA14" s="207"/>
      <c r="AB14" s="207"/>
      <c r="AC14" s="207"/>
      <c r="AD14" s="207"/>
      <c r="AE14" s="207"/>
      <c r="AF14" s="207"/>
      <c r="AG14" s="209"/>
      <c r="AH14" s="2"/>
      <c r="AI14" s="142" t="s">
        <v>14</v>
      </c>
      <c r="AJ14" s="143"/>
      <c r="AK14" s="146"/>
      <c r="AM14" s="142" t="s">
        <v>15</v>
      </c>
      <c r="AN14" s="143"/>
      <c r="AO14" s="143"/>
      <c r="AP14" s="143"/>
      <c r="AQ14" s="143"/>
      <c r="AR14" s="46"/>
      <c r="AS14" s="142" t="s">
        <v>16</v>
      </c>
      <c r="AT14" s="146"/>
    </row>
    <row r="15" spans="1:46" ht="16.149999999999999" thickBot="1">
      <c r="A15" s="238"/>
      <c r="B15" s="239"/>
      <c r="C15" s="239"/>
      <c r="D15" s="239"/>
      <c r="E15" s="239"/>
      <c r="F15" s="239"/>
      <c r="G15" s="239"/>
      <c r="H15" s="239"/>
      <c r="I15" s="239"/>
      <c r="J15" s="239"/>
      <c r="K15" s="239"/>
      <c r="L15" s="239"/>
      <c r="M15" s="239"/>
      <c r="N15" s="240"/>
      <c r="O15" s="241"/>
      <c r="P15" s="2"/>
      <c r="Q15" s="31"/>
      <c r="R15" s="32"/>
      <c r="S15" s="32"/>
      <c r="T15" s="161" t="s">
        <v>17</v>
      </c>
      <c r="U15" s="161"/>
      <c r="V15" s="161"/>
      <c r="W15" s="161"/>
      <c r="X15" s="161"/>
      <c r="Y15" s="161"/>
      <c r="Z15" s="159"/>
      <c r="AA15" s="159"/>
      <c r="AB15" s="159"/>
      <c r="AC15" s="159"/>
      <c r="AD15" s="159"/>
      <c r="AE15" s="159"/>
      <c r="AF15" s="159"/>
      <c r="AG15" s="160"/>
      <c r="AH15" s="2"/>
      <c r="AI15" s="144"/>
      <c r="AJ15" s="145"/>
      <c r="AK15" s="147"/>
      <c r="AM15" s="144"/>
      <c r="AN15" s="145"/>
      <c r="AO15" s="145"/>
      <c r="AP15" s="145"/>
      <c r="AQ15" s="145"/>
      <c r="AR15" s="46"/>
      <c r="AS15" s="144"/>
      <c r="AT15" s="147"/>
    </row>
    <row r="16" spans="1:46" s="5" customFormat="1" ht="106.5" customHeight="1" thickBot="1">
      <c r="A16" s="11" t="s">
        <v>18</v>
      </c>
      <c r="B16" s="12" t="s">
        <v>19</v>
      </c>
      <c r="C16" s="13" t="s">
        <v>20</v>
      </c>
      <c r="D16" s="13" t="s">
        <v>21</v>
      </c>
      <c r="E16" s="14" t="s">
        <v>22</v>
      </c>
      <c r="F16" s="24" t="s">
        <v>23</v>
      </c>
      <c r="G16" s="50" t="s">
        <v>24</v>
      </c>
      <c r="H16" s="14" t="s">
        <v>25</v>
      </c>
      <c r="I16" s="13" t="s">
        <v>26</v>
      </c>
      <c r="J16" s="13" t="s">
        <v>27</v>
      </c>
      <c r="K16" s="14" t="s">
        <v>28</v>
      </c>
      <c r="L16" s="14" t="s">
        <v>29</v>
      </c>
      <c r="M16" s="13" t="s">
        <v>26</v>
      </c>
      <c r="N16" s="13" t="s">
        <v>30</v>
      </c>
      <c r="O16" s="15" t="s">
        <v>31</v>
      </c>
      <c r="P16" s="2"/>
      <c r="Q16" s="16" t="s">
        <v>32</v>
      </c>
      <c r="R16" s="17" t="s">
        <v>33</v>
      </c>
      <c r="S16" s="37" t="s">
        <v>34</v>
      </c>
      <c r="T16" s="18" t="s">
        <v>35</v>
      </c>
      <c r="U16" s="18" t="s">
        <v>36</v>
      </c>
      <c r="V16" s="18" t="s">
        <v>37</v>
      </c>
      <c r="W16" s="18" t="s">
        <v>38</v>
      </c>
      <c r="X16" s="18" t="s">
        <v>39</v>
      </c>
      <c r="Y16" s="18" t="s">
        <v>40</v>
      </c>
      <c r="Z16" s="19" t="s">
        <v>41</v>
      </c>
      <c r="AA16" s="19" t="s">
        <v>42</v>
      </c>
      <c r="AB16" s="19" t="s">
        <v>26</v>
      </c>
      <c r="AC16" s="19" t="s">
        <v>43</v>
      </c>
      <c r="AD16" s="19" t="s">
        <v>26</v>
      </c>
      <c r="AE16" s="19" t="s">
        <v>30</v>
      </c>
      <c r="AF16" s="19" t="s">
        <v>44</v>
      </c>
      <c r="AG16" s="15" t="s">
        <v>45</v>
      </c>
      <c r="AH16" s="2"/>
      <c r="AI16" s="20" t="s">
        <v>46</v>
      </c>
      <c r="AJ16" s="17" t="s">
        <v>47</v>
      </c>
      <c r="AK16" s="45" t="s">
        <v>48</v>
      </c>
      <c r="AM16" s="48" t="s">
        <v>49</v>
      </c>
      <c r="AN16" s="100" t="s">
        <v>50</v>
      </c>
      <c r="AO16" s="48" t="s">
        <v>51</v>
      </c>
      <c r="AP16" s="48" t="s">
        <v>52</v>
      </c>
      <c r="AQ16" s="48" t="s">
        <v>53</v>
      </c>
      <c r="AR16" s="47"/>
      <c r="AS16" s="48" t="s">
        <v>54</v>
      </c>
      <c r="AT16" s="49" t="s">
        <v>55</v>
      </c>
    </row>
    <row r="17" spans="1:58" ht="152.25" customHeight="1">
      <c r="A17" s="203">
        <v>1</v>
      </c>
      <c r="B17" s="178" t="s">
        <v>56</v>
      </c>
      <c r="C17" s="178" t="s">
        <v>57</v>
      </c>
      <c r="D17" s="178" t="s">
        <v>58</v>
      </c>
      <c r="E17" s="233" t="s">
        <v>59</v>
      </c>
      <c r="F17" s="164"/>
      <c r="G17" s="167">
        <v>32</v>
      </c>
      <c r="H17" s="170" t="str">
        <f>IF(G17&lt;=0,"",IF(G17&lt;=2,"Muy Baja",IF(G17&lt;=24,"Baja",IF(G17&lt;=500,"Media",IF(G17&lt;=5000,"Alta","Muy Alta")))))</f>
        <v>Media</v>
      </c>
      <c r="I17" s="130">
        <f>IF(H17="","",IF(H17="Muy Baja",0.2,IF(H17="Baja",0.4,IF(H17="Media",0.6,IF(H17="Alta",0.8,IF(H17="Muy Alta",1,))))))</f>
        <v>0.6</v>
      </c>
      <c r="J17" s="175" t="s">
        <v>60</v>
      </c>
      <c r="K17" s="128" t="str">
        <f>+J17</f>
        <v>Afectación Entre 700 y 1500 SMLMV</v>
      </c>
      <c r="L17" s="170" t="str">
        <f>+VLOOKUP(K17,Datos!$O$4:$P$15,2,FALSE)</f>
        <v>Menor</v>
      </c>
      <c r="M17" s="130">
        <f>IF(L17="","",IF(L17="Leve",0.2,IF(L17="Menor",0.4,IF(L17="Moderado",0.6,IF(L17="Mayor",0.8,IF(L17="Catastrófico",1,))))))</f>
        <v>0.4</v>
      </c>
      <c r="N17" s="130" t="str">
        <f>+CONCATENATE(H17, " - ", L17)</f>
        <v>Media - Menor</v>
      </c>
      <c r="O17" s="132" t="str">
        <f>+VLOOKUP(N17,Datos!J4:K28,2,)</f>
        <v>MODERADO</v>
      </c>
      <c r="P17" s="41"/>
      <c r="Q17" s="21">
        <v>1</v>
      </c>
      <c r="R17" s="89" t="s">
        <v>61</v>
      </c>
      <c r="S17" s="54" t="str">
        <f t="shared" ref="S17" si="0">IF(OR(T17="Preventivo",T17="Detectivo"),"Probabilidad",IF(T17="Correctivo","Impacto",""))</f>
        <v>Probabilidad</v>
      </c>
      <c r="T17" s="42" t="s">
        <v>62</v>
      </c>
      <c r="U17" s="42" t="s">
        <v>63</v>
      </c>
      <c r="V17" s="58" t="str">
        <f t="shared" ref="V17" si="1">IF(AND(T17="Preventivo",U17="Automático"),"50%",IF(AND(T17="Preventivo",U17="Manual"),"40%",IF(AND(T17="Detectivo",U17="Automático"),"40%",IF(AND(T17="Detectivo",U17="Manual"),"30%",IF(AND(T17="Correctivo",U17="Automático"),"35%",IF(AND(T17="Correctivo",U17="Manual"),"25%",""))))))</f>
        <v>40%</v>
      </c>
      <c r="W17" s="91" t="s">
        <v>64</v>
      </c>
      <c r="X17" s="43" t="s">
        <v>65</v>
      </c>
      <c r="Y17" s="90" t="s">
        <v>66</v>
      </c>
      <c r="Z17" s="62">
        <f>IFERROR(IF(S17="Probabilidad",(I17-(+I17*V17)),IF(S17="Impacto",I17,"")),"")</f>
        <v>0.36</v>
      </c>
      <c r="AA17" s="63" t="str">
        <f t="shared" ref="AA17:AA21" si="2">IFERROR(IF(Z17="","",IF(Z17&lt;=0.2,"Muy Baja",IF(Z17&lt;=0.4,"Baja",IF(Z17&lt;=0.6,"Media",IF(Z17&lt;=0.8,"Alta","Muy Alta"))))),"")</f>
        <v>Baja</v>
      </c>
      <c r="AB17" s="64">
        <f t="shared" ref="AB17:AB21" si="3">+Z17</f>
        <v>0.36</v>
      </c>
      <c r="AC17" s="65" t="str">
        <f t="shared" ref="AC17:AC21" si="4">IFERROR(IF(AD17="","",IF(AD17&lt;=0.2,"Leve",IF(AD17&lt;=0.4,"Menor",IF(AD17&lt;=0.6,"Moderado",IF(AD17&lt;=0.8,"Mayor","Catastrófico"))))),"")</f>
        <v>Menor</v>
      </c>
      <c r="AD17" s="62">
        <f>IFERROR(IF(S17="Impacto",(M17-(+M17*V17)),IF(S17="Probabilidad",M17,"")),"")</f>
        <v>0.4</v>
      </c>
      <c r="AE17" s="66" t="str">
        <f>+CONCATENATE(AA17, " - ", AC17)</f>
        <v>Baja - Menor</v>
      </c>
      <c r="AF17" s="81" t="str">
        <f>+VLOOKUP(AE17,Datos!$J$4:$K$28,2,)</f>
        <v>MODERADO</v>
      </c>
      <c r="AG17" s="224" t="s">
        <v>67</v>
      </c>
      <c r="AH17" s="41"/>
      <c r="AI17" s="222" t="s">
        <v>68</v>
      </c>
      <c r="AJ17" s="220"/>
      <c r="AK17" s="218"/>
      <c r="AL17" s="95"/>
      <c r="AM17" s="148">
        <v>45792</v>
      </c>
      <c r="AN17" s="157" t="s">
        <v>69</v>
      </c>
      <c r="AO17" s="151" t="s">
        <v>70</v>
      </c>
      <c r="AP17" s="151" t="s">
        <v>70</v>
      </c>
      <c r="AQ17" s="153"/>
      <c r="AR17" s="96"/>
      <c r="AS17" s="155" t="s">
        <v>71</v>
      </c>
      <c r="AT17" s="136" t="s">
        <v>72</v>
      </c>
    </row>
    <row r="18" spans="1:58" ht="201.75" customHeight="1">
      <c r="A18" s="204"/>
      <c r="B18" s="179"/>
      <c r="C18" s="179"/>
      <c r="D18" s="179"/>
      <c r="E18" s="179"/>
      <c r="F18" s="165"/>
      <c r="G18" s="168"/>
      <c r="H18" s="171"/>
      <c r="I18" s="162"/>
      <c r="J18" s="176"/>
      <c r="K18" s="216"/>
      <c r="L18" s="171"/>
      <c r="M18" s="162"/>
      <c r="N18" s="162"/>
      <c r="O18" s="173"/>
      <c r="P18" s="2"/>
      <c r="Q18" s="38">
        <v>2</v>
      </c>
      <c r="R18" s="89" t="s">
        <v>73</v>
      </c>
      <c r="S18" s="54" t="str">
        <f t="shared" ref="S18" si="5">IF(OR(T18="Preventivo",T18="Detectivo"),"Probabilidad",IF(T18="Correctivo","Impacto",""))</f>
        <v>Probabilidad</v>
      </c>
      <c r="T18" s="42" t="s">
        <v>74</v>
      </c>
      <c r="U18" s="42" t="s">
        <v>63</v>
      </c>
      <c r="V18" s="58" t="str">
        <f t="shared" ref="V18" si="6">IF(AND(T18="Preventivo",U18="Automático"),"50%",IF(AND(T18="Preventivo",U18="Manual"),"40%",IF(AND(T18="Detectivo",U18="Automático"),"40%",IF(AND(T18="Detectivo",U18="Manual"),"30%",IF(AND(T18="Correctivo",U18="Automático"),"35%",IF(AND(T18="Correctivo",U18="Manual"),"25%",""))))))</f>
        <v>30%</v>
      </c>
      <c r="W18" s="43" t="s">
        <v>75</v>
      </c>
      <c r="X18" s="43" t="s">
        <v>76</v>
      </c>
      <c r="Y18" s="92" t="s">
        <v>77</v>
      </c>
      <c r="Z18" s="67">
        <f>IFERROR(IF(AND(S17="Probabilidad",S18="Probabilidad"),(AB17-(+AB17*V18)),IF(S18="Probabilidad",(I16-(+I16*V18)),IF(S18="Impacto",AB17,""))),"")</f>
        <v>0.252</v>
      </c>
      <c r="AA18" s="68" t="str">
        <f t="shared" ref="AA18" si="7">IFERROR(IF(Z18="","",IF(Z18&lt;=0.2,"Muy Baja",IF(Z18&lt;=0.4,"Baja",IF(Z18&lt;=0.6,"Media",IF(Z18&lt;=0.8,"Alta","Muy Alta"))))),"")</f>
        <v>Baja</v>
      </c>
      <c r="AB18" s="69">
        <f t="shared" ref="AB18" si="8">+Z18</f>
        <v>0.252</v>
      </c>
      <c r="AC18" s="70" t="str">
        <f t="shared" ref="AC18" si="9">IFERROR(IF(AD18="","",IF(AD18&lt;=0.2,"Leve",IF(AD18&lt;=0.4,"Menor",IF(AD18&lt;=0.6,"Moderado",IF(AD18&lt;=0.8,"Mayor","Catastrófico"))))),"")</f>
        <v>Menor</v>
      </c>
      <c r="AD18" s="67">
        <f>IFERROR(IF(AND(S17="Impacto",S17="Impacto"),(AD17-(+AD17*V18)),IF(S18="Impacto",(M17-(+M17*V18)),IF(S18="Probabilidad",AD17,""))),"")</f>
        <v>0.4</v>
      </c>
      <c r="AE18" s="71" t="str">
        <f t="shared" ref="AE18" si="10">+CONCATENATE(AA18, " - ", AC18)</f>
        <v>Baja - Menor</v>
      </c>
      <c r="AF18" s="82" t="str">
        <f>+VLOOKUP(AE18,Datos!$J$4:$K$28,2,)</f>
        <v>MODERADO</v>
      </c>
      <c r="AG18" s="225"/>
      <c r="AH18" s="2"/>
      <c r="AI18" s="104"/>
      <c r="AJ18" s="106"/>
      <c r="AK18" s="108"/>
      <c r="AL18" s="95"/>
      <c r="AM18" s="149"/>
      <c r="AN18" s="158"/>
      <c r="AO18" s="152"/>
      <c r="AP18" s="152"/>
      <c r="AQ18" s="154"/>
      <c r="AR18" s="96"/>
      <c r="AS18" s="156"/>
      <c r="AT18" s="137"/>
    </row>
    <row r="19" spans="1:58" ht="136.5" customHeight="1">
      <c r="A19" s="204"/>
      <c r="B19" s="179"/>
      <c r="C19" s="179"/>
      <c r="D19" s="179"/>
      <c r="E19" s="179"/>
      <c r="F19" s="165"/>
      <c r="G19" s="168"/>
      <c r="H19" s="171"/>
      <c r="I19" s="162"/>
      <c r="J19" s="176"/>
      <c r="K19" s="216"/>
      <c r="L19" s="171"/>
      <c r="M19" s="162"/>
      <c r="N19" s="162"/>
      <c r="O19" s="173"/>
      <c r="P19" s="2"/>
      <c r="Q19" s="8">
        <v>3</v>
      </c>
      <c r="R19" s="36" t="s">
        <v>78</v>
      </c>
      <c r="S19" s="55" t="str">
        <f t="shared" ref="S19:S21" si="11">IF(OR(T19="Preventivo",T19="Detectivo"),"Probabilidad",IF(T19="Correctivo","Impacto",""))</f>
        <v>Probabilidad</v>
      </c>
      <c r="T19" s="87" t="s">
        <v>74</v>
      </c>
      <c r="U19" s="6" t="s">
        <v>63</v>
      </c>
      <c r="V19" s="59" t="str">
        <f t="shared" ref="V19:V21" si="12">IF(AND(T19="Preventivo",U19="Automático"),"50%",IF(AND(T19="Preventivo",U19="Manual"),"40%",IF(AND(T19="Detectivo",U19="Automático"),"40%",IF(AND(T19="Detectivo",U19="Manual"),"30%",IF(AND(T19="Correctivo",U19="Automático"),"35%",IF(AND(T19="Correctivo",U19="Manual"),"25%",""))))))</f>
        <v>30%</v>
      </c>
      <c r="W19" s="10" t="s">
        <v>79</v>
      </c>
      <c r="X19" s="10" t="s">
        <v>76</v>
      </c>
      <c r="Y19" s="10" t="s">
        <v>80</v>
      </c>
      <c r="Z19" s="67">
        <f>IFERROR(IF(AND(S17="Probabilidad",S19="Probabilidad"),(AB17-(+AB17*V19)),IF(S19="Probabilidad",(I17-(+I17*V19)),IF(S19="Impacto",AB17,""))),"")</f>
        <v>0.252</v>
      </c>
      <c r="AA19" s="68" t="str">
        <f t="shared" si="2"/>
        <v>Baja</v>
      </c>
      <c r="AB19" s="69">
        <f t="shared" si="3"/>
        <v>0.252</v>
      </c>
      <c r="AC19" s="70" t="str">
        <f t="shared" si="4"/>
        <v>Menor</v>
      </c>
      <c r="AD19" s="67">
        <f>IFERROR(IF(AND(S17="Impacto",S17="Impacto"),(AD17-(+AD17*V19)),IF(S19="Impacto",(M17-(+M17*V19)),IF(S19="Probabilidad",AD17,""))),"")</f>
        <v>0.4</v>
      </c>
      <c r="AE19" s="71" t="str">
        <f t="shared" ref="AE19:AE20" si="13">+CONCATENATE(AA19, " - ", AC19)</f>
        <v>Baja - Menor</v>
      </c>
      <c r="AF19" s="82" t="str">
        <f>+VLOOKUP(AE19,Datos!$J$4:$K$28,2,)</f>
        <v>MODERADO</v>
      </c>
      <c r="AG19" s="225"/>
      <c r="AH19" s="2"/>
      <c r="AI19" s="104"/>
      <c r="AJ19" s="106"/>
      <c r="AK19" s="108"/>
      <c r="AL19" s="95"/>
      <c r="AM19" s="150"/>
      <c r="AN19" s="158"/>
      <c r="AO19" s="152"/>
      <c r="AP19" s="152"/>
      <c r="AQ19" s="154"/>
      <c r="AR19" s="97"/>
      <c r="AS19" s="156"/>
      <c r="AT19" s="137"/>
      <c r="BF19" s="85"/>
    </row>
    <row r="20" spans="1:58" ht="149.25" customHeight="1">
      <c r="A20" s="204"/>
      <c r="B20" s="179"/>
      <c r="C20" s="179"/>
      <c r="D20" s="179"/>
      <c r="E20" s="179"/>
      <c r="F20" s="165"/>
      <c r="G20" s="168"/>
      <c r="H20" s="171"/>
      <c r="I20" s="162"/>
      <c r="J20" s="176"/>
      <c r="K20" s="216"/>
      <c r="L20" s="171"/>
      <c r="M20" s="162"/>
      <c r="N20" s="162"/>
      <c r="O20" s="173"/>
      <c r="P20" s="2"/>
      <c r="Q20" s="51">
        <v>4</v>
      </c>
      <c r="R20" s="36" t="s">
        <v>81</v>
      </c>
      <c r="S20" s="55" t="str">
        <f t="shared" si="11"/>
        <v>Probabilidad</v>
      </c>
      <c r="T20" s="52" t="s">
        <v>74</v>
      </c>
      <c r="U20" s="52" t="s">
        <v>63</v>
      </c>
      <c r="V20" s="59" t="str">
        <f t="shared" si="12"/>
        <v>30%</v>
      </c>
      <c r="W20" s="53" t="s">
        <v>82</v>
      </c>
      <c r="X20" s="53" t="s">
        <v>83</v>
      </c>
      <c r="Y20" s="53" t="s">
        <v>84</v>
      </c>
      <c r="Z20" s="67">
        <f>IFERROR(IF(AND(S19="Probabilidad",S20="Probabilidad"),(AB19-(+AB19*V20)),IF(S20="Probabilidad",(I17-(+I17*V20)),IF(S20="Impacto",AB19,""))),"")</f>
        <v>0.1764</v>
      </c>
      <c r="AA20" s="68" t="str">
        <f t="shared" si="2"/>
        <v>Muy Baja</v>
      </c>
      <c r="AB20" s="69">
        <f t="shared" si="3"/>
        <v>0.1764</v>
      </c>
      <c r="AC20" s="70" t="str">
        <f t="shared" si="4"/>
        <v>Menor</v>
      </c>
      <c r="AD20" s="67">
        <f>IFERROR(IF(AND(S19="Impacto",S19="Impacto"),(AD19-(+AD19*V20)),IF(S20="Impacto",(M17-(+M17*V20)),IF(S20="Probabilidad",AD19,""))),"")</f>
        <v>0.4</v>
      </c>
      <c r="AE20" s="71" t="str">
        <f t="shared" si="13"/>
        <v>Muy Baja - Menor</v>
      </c>
      <c r="AF20" s="82" t="str">
        <f>+VLOOKUP(AE20,Datos!$J$4:$K$28,2,)</f>
        <v>BAJO</v>
      </c>
      <c r="AG20" s="225"/>
      <c r="AH20" s="2"/>
      <c r="AI20" s="104"/>
      <c r="AJ20" s="106"/>
      <c r="AK20" s="108"/>
      <c r="AL20" s="95"/>
      <c r="AM20" s="150"/>
      <c r="AN20" s="158"/>
      <c r="AO20" s="152"/>
      <c r="AP20" s="152"/>
      <c r="AQ20" s="154"/>
      <c r="AR20" s="97"/>
      <c r="AS20" s="156"/>
      <c r="AT20" s="137"/>
    </row>
    <row r="21" spans="1:58" ht="270.75" customHeight="1" thickBot="1">
      <c r="A21" s="205"/>
      <c r="B21" s="180"/>
      <c r="C21" s="180"/>
      <c r="D21" s="180"/>
      <c r="E21" s="180"/>
      <c r="F21" s="166"/>
      <c r="G21" s="169"/>
      <c r="H21" s="172"/>
      <c r="I21" s="163"/>
      <c r="J21" s="177"/>
      <c r="K21" s="217"/>
      <c r="L21" s="172"/>
      <c r="M21" s="163"/>
      <c r="N21" s="163"/>
      <c r="O21" s="174"/>
      <c r="P21" s="44"/>
      <c r="Q21" s="9">
        <v>5</v>
      </c>
      <c r="R21" s="86" t="s">
        <v>85</v>
      </c>
      <c r="S21" s="56" t="str">
        <f t="shared" si="11"/>
        <v>Impacto</v>
      </c>
      <c r="T21" s="22" t="s">
        <v>86</v>
      </c>
      <c r="U21" s="22" t="s">
        <v>63</v>
      </c>
      <c r="V21" s="60" t="str">
        <f t="shared" si="12"/>
        <v>25%</v>
      </c>
      <c r="W21" s="23" t="s">
        <v>87</v>
      </c>
      <c r="X21" s="23" t="s">
        <v>88</v>
      </c>
      <c r="Y21" s="88" t="s">
        <v>84</v>
      </c>
      <c r="Z21" s="72">
        <f>IFERROR(IF(AND(S20="Probabilidad",S21="Probabilidad"),(AB20-(+AB20*V21)),IF(S21="Probabilidad",(I17-(+I17*V21)),IF(S21="Impacto",AB20,""))),"")</f>
        <v>0.1764</v>
      </c>
      <c r="AA21" s="68" t="str">
        <f t="shared" si="2"/>
        <v>Muy Baja</v>
      </c>
      <c r="AB21" s="73">
        <f t="shared" si="3"/>
        <v>0.1764</v>
      </c>
      <c r="AC21" s="74" t="str">
        <f t="shared" si="4"/>
        <v>Menor</v>
      </c>
      <c r="AD21" s="72">
        <f>IFERROR(IF(AND(S19="Impacto",S19="Impacto"),(AD19-(+AD19*V21)),IF(S21="Impacto",(M17-(+M17*V21)),IF(S21="Probabilidad",AD19,""))),"")</f>
        <v>0.30000000000000004</v>
      </c>
      <c r="AE21" s="75" t="str">
        <f t="shared" ref="AE21" si="14">+CONCATENATE(AA21, " - ", AC21)</f>
        <v>Muy Baja - Menor</v>
      </c>
      <c r="AF21" s="83" t="str">
        <f>+VLOOKUP(AE21,Datos!$J$4:$K$28,2,)</f>
        <v>BAJO</v>
      </c>
      <c r="AG21" s="226"/>
      <c r="AH21" s="44"/>
      <c r="AI21" s="223"/>
      <c r="AJ21" s="221"/>
      <c r="AK21" s="219"/>
      <c r="AL21" s="95"/>
      <c r="AM21" s="150"/>
      <c r="AN21" s="158"/>
      <c r="AO21" s="152"/>
      <c r="AP21" s="152"/>
      <c r="AQ21" s="154"/>
      <c r="AR21" s="97"/>
      <c r="AS21" s="156"/>
      <c r="AT21" s="137"/>
    </row>
    <row r="22" spans="1:58" ht="150.75" customHeight="1">
      <c r="A22" s="114">
        <v>2</v>
      </c>
      <c r="B22" s="116" t="s">
        <v>56</v>
      </c>
      <c r="C22" s="116" t="s">
        <v>89</v>
      </c>
      <c r="D22" s="116" t="s">
        <v>90</v>
      </c>
      <c r="E22" s="116" t="s">
        <v>91</v>
      </c>
      <c r="F22" s="118"/>
      <c r="G22" s="120">
        <v>7</v>
      </c>
      <c r="H22" s="122" t="str">
        <f>IF(G22&lt;=0,"",IF(G22&lt;=2,"Muy Baja",IF(G22&lt;=24,"Baja",IF(G22&lt;=500,"Media",IF(G22&lt;=5000,"Alta","Muy Alta")))))</f>
        <v>Baja</v>
      </c>
      <c r="I22" s="124">
        <f>IF(H22="","",IF(H22="Muy Baja",0.2,IF(H22="Baja",0.4,IF(H22="Media",0.6,IF(H22="Alta",0.8,IF(H22="Muy Alta",1,))))))</f>
        <v>0.4</v>
      </c>
      <c r="J22" s="126" t="s">
        <v>92</v>
      </c>
      <c r="K22" s="128" t="str">
        <f>+J22</f>
        <v>El riesgo afecta la imagen de algún área de la organización.</v>
      </c>
      <c r="L22" s="122" t="str">
        <f>+VLOOKUP(K22,Datos!$O$4:$P$15,2,FALSE)</f>
        <v>Leve</v>
      </c>
      <c r="M22" s="124">
        <f>IF(L22="","",IF(L22="Leve",0.2,IF(L22="Menor",0.4,IF(L22="Moderado",0.6,IF(L22="Mayor",0.8,IF(L22="Catastrófico",1,))))))</f>
        <v>0.2</v>
      </c>
      <c r="N22" s="130" t="str">
        <f>+CONCATENATE(H22, " - ", L22)</f>
        <v>Baja - Leve</v>
      </c>
      <c r="O22" s="132" t="str">
        <f>+VLOOKUP(N22,Datos!J4:K28,2,)</f>
        <v>BAJO</v>
      </c>
      <c r="P22" s="2"/>
      <c r="Q22" s="38">
        <v>1</v>
      </c>
      <c r="R22" s="94" t="s">
        <v>93</v>
      </c>
      <c r="S22" s="57" t="str">
        <f t="shared" ref="S22" si="15">IF(OR(T22="Preventivo",T22="Detectivo"),"Probabilidad",IF(T22="Correctivo","Impacto",""))</f>
        <v>Probabilidad</v>
      </c>
      <c r="T22" s="39" t="s">
        <v>74</v>
      </c>
      <c r="U22" s="39" t="s">
        <v>63</v>
      </c>
      <c r="V22" s="61" t="str">
        <f t="shared" ref="V22:V23" si="16">IF(AND(T22="Preventivo",U22="Automático"),"50%",IF(AND(T22="Preventivo",U22="Manual"),"40%",IF(AND(T22="Detectivo",U22="Automático"),"40%",IF(AND(T22="Detectivo",U22="Manual"),"30%",IF(AND(T22="Correctivo",U22="Automático"),"35%",IF(AND(T22="Correctivo",U22="Manual"),"25%",""))))))</f>
        <v>30%</v>
      </c>
      <c r="W22" s="40" t="s">
        <v>94</v>
      </c>
      <c r="X22" s="40" t="s">
        <v>95</v>
      </c>
      <c r="Y22" s="40" t="s">
        <v>96</v>
      </c>
      <c r="Z22" s="76">
        <f>IFERROR(IF(S22="Probabilidad",(I22-(+I22*V22)),IF(S22="Impacto",I22,"")),"")</f>
        <v>0.28000000000000003</v>
      </c>
      <c r="AA22" s="77" t="str">
        <f t="shared" ref="AA22:AA23" si="17">IFERROR(IF(Z22="","",IF(Z22&lt;=0.2,"Muy Baja",IF(Z22&lt;=0.4,"Baja",IF(Z22&lt;=0.6,"Media",IF(Z22&lt;=0.8,"Alta","Muy Alta"))))),"")</f>
        <v>Baja</v>
      </c>
      <c r="AB22" s="78">
        <f t="shared" ref="AB22:AB23" si="18">+Z22</f>
        <v>0.28000000000000003</v>
      </c>
      <c r="AC22" s="79" t="str">
        <f t="shared" ref="AC22:AC23" si="19">IFERROR(IF(AD22="","",IF(AD22&lt;=0.2,"Leve",IF(AD22&lt;=0.4,"Menor",IF(AD22&lt;=0.6,"Moderado",IF(AD22&lt;=0.8,"Mayor","Catastrófico"))))),"")</f>
        <v>Leve</v>
      </c>
      <c r="AD22" s="76">
        <f>IFERROR(IF(S22="Impacto",(M22-(+M22*V22)),IF(S22="Probabilidad",M22,"")),"")</f>
        <v>0.2</v>
      </c>
      <c r="AE22" s="80" t="str">
        <f>+CONCATENATE(AA22, " - ", AC22)</f>
        <v>Baja - Leve</v>
      </c>
      <c r="AF22" s="84" t="str">
        <f>+VLOOKUP(AE22,Datos!$J$4:$K$28,2,)</f>
        <v>BAJO</v>
      </c>
      <c r="AG22" s="102" t="s">
        <v>67</v>
      </c>
      <c r="AH22" s="2"/>
      <c r="AI22" s="104" t="s">
        <v>68</v>
      </c>
      <c r="AJ22" s="106"/>
      <c r="AK22" s="108"/>
      <c r="AL22" s="95"/>
      <c r="AM22" s="110">
        <v>45792</v>
      </c>
      <c r="AN22" s="210" t="s">
        <v>97</v>
      </c>
      <c r="AO22" s="112" t="s">
        <v>70</v>
      </c>
      <c r="AP22" s="112" t="s">
        <v>70</v>
      </c>
      <c r="AQ22" s="140"/>
      <c r="AR22" s="101"/>
      <c r="AS22" s="134" t="s">
        <v>98</v>
      </c>
      <c r="AT22" s="138" t="s">
        <v>99</v>
      </c>
    </row>
    <row r="23" spans="1:58" ht="150.75" customHeight="1">
      <c r="A23" s="115"/>
      <c r="B23" s="117"/>
      <c r="C23" s="117"/>
      <c r="D23" s="117"/>
      <c r="E23" s="117"/>
      <c r="F23" s="119"/>
      <c r="G23" s="121"/>
      <c r="H23" s="123"/>
      <c r="I23" s="125"/>
      <c r="J23" s="127"/>
      <c r="K23" s="129"/>
      <c r="L23" s="123"/>
      <c r="M23" s="125"/>
      <c r="N23" s="131"/>
      <c r="O23" s="133"/>
      <c r="P23" s="2"/>
      <c r="Q23" s="8">
        <v>2</v>
      </c>
      <c r="R23" s="93" t="s">
        <v>100</v>
      </c>
      <c r="S23" s="55" t="str">
        <f>IF(OR(T23="Preventivo",T23="Detectivo"),"Probabilidad",IF(T23="Correctivo","Impacto",""))</f>
        <v>Impacto</v>
      </c>
      <c r="T23" s="6" t="s">
        <v>86</v>
      </c>
      <c r="U23" s="6" t="s">
        <v>63</v>
      </c>
      <c r="V23" s="59" t="str">
        <f t="shared" si="16"/>
        <v>25%</v>
      </c>
      <c r="W23" s="40" t="s">
        <v>94</v>
      </c>
      <c r="X23" s="10" t="s">
        <v>101</v>
      </c>
      <c r="Y23" s="40" t="s">
        <v>96</v>
      </c>
      <c r="Z23" s="67">
        <f>IFERROR(IF(AND(S22="Probabilidad",S23="Probabilidad"),(AB22-(+AB22*V23)),IF(S23="Probabilidad",(I22-(+I22*V23)),IF(S23="Impacto",AB22,""))),"")</f>
        <v>0.28000000000000003</v>
      </c>
      <c r="AA23" s="68" t="str">
        <f t="shared" si="17"/>
        <v>Baja</v>
      </c>
      <c r="AB23" s="69">
        <f t="shared" si="18"/>
        <v>0.28000000000000003</v>
      </c>
      <c r="AC23" s="70" t="str">
        <f t="shared" si="19"/>
        <v>Leve</v>
      </c>
      <c r="AD23" s="67">
        <f>IFERROR(IF(AND(S22="Impacto",S22="Impacto"),(AD22-(+AD22*V23)),IF(S23="Impacto",(M22-(+M22*V23)),IF(S23="Probabilidad",AD22,""))),"")</f>
        <v>0.15000000000000002</v>
      </c>
      <c r="AE23" s="71" t="str">
        <f t="shared" ref="AE23" si="20">+CONCATENATE(AA23, " - ", AC23)</f>
        <v>Baja - Leve</v>
      </c>
      <c r="AF23" s="82" t="str">
        <f>+VLOOKUP(AE23,Datos!$J$4:$K$28,2,)</f>
        <v>BAJO</v>
      </c>
      <c r="AG23" s="103"/>
      <c r="AH23" s="2"/>
      <c r="AI23" s="105"/>
      <c r="AJ23" s="107"/>
      <c r="AK23" s="109"/>
      <c r="AL23" s="98"/>
      <c r="AM23" s="111"/>
      <c r="AN23" s="211"/>
      <c r="AO23" s="113"/>
      <c r="AP23" s="113"/>
      <c r="AQ23" s="141"/>
      <c r="AR23" s="99"/>
      <c r="AS23" s="135"/>
      <c r="AT23" s="139"/>
    </row>
    <row r="24" spans="1:58">
      <c r="P24" s="2"/>
    </row>
    <row r="25" spans="1:58">
      <c r="P25" s="2"/>
    </row>
    <row r="26" spans="1:58">
      <c r="P26" s="2"/>
    </row>
    <row r="27" spans="1:58">
      <c r="P27" s="2"/>
    </row>
    <row r="28" spans="1:58">
      <c r="P28" s="2"/>
    </row>
    <row r="29" spans="1:58">
      <c r="P29" s="2"/>
    </row>
  </sheetData>
  <mergeCells count="76">
    <mergeCell ref="AN22:AN23"/>
    <mergeCell ref="AI14:AK15"/>
    <mergeCell ref="A10:C10"/>
    <mergeCell ref="D10:M10"/>
    <mergeCell ref="A11:C11"/>
    <mergeCell ref="K17:K21"/>
    <mergeCell ref="AK17:AK21"/>
    <mergeCell ref="AJ17:AJ21"/>
    <mergeCell ref="AI17:AI21"/>
    <mergeCell ref="AG17:AG21"/>
    <mergeCell ref="N17:N21"/>
    <mergeCell ref="D11:M11"/>
    <mergeCell ref="A12:C12"/>
    <mergeCell ref="D12:M12"/>
    <mergeCell ref="E17:E21"/>
    <mergeCell ref="A14:O15"/>
    <mergeCell ref="C17:C21"/>
    <mergeCell ref="A1:B8"/>
    <mergeCell ref="C1:AD4"/>
    <mergeCell ref="AF1:AG2"/>
    <mergeCell ref="AH1:AI2"/>
    <mergeCell ref="AF3:AG4"/>
    <mergeCell ref="AH3:AI4"/>
    <mergeCell ref="C5:AD8"/>
    <mergeCell ref="AF5:AG6"/>
    <mergeCell ref="AH5:AI6"/>
    <mergeCell ref="AF7:AG8"/>
    <mergeCell ref="AH7:AI8"/>
    <mergeCell ref="D17:D21"/>
    <mergeCell ref="A17:A21"/>
    <mergeCell ref="B17:B21"/>
    <mergeCell ref="Q14:AG14"/>
    <mergeCell ref="Z15:AG15"/>
    <mergeCell ref="T15:Y15"/>
    <mergeCell ref="M17:M21"/>
    <mergeCell ref="F17:F21"/>
    <mergeCell ref="G17:G21"/>
    <mergeCell ref="H17:H21"/>
    <mergeCell ref="I17:I21"/>
    <mergeCell ref="O17:O21"/>
    <mergeCell ref="L17:L21"/>
    <mergeCell ref="J17:J21"/>
    <mergeCell ref="AM14:AQ15"/>
    <mergeCell ref="AS14:AT15"/>
    <mergeCell ref="AM17:AM21"/>
    <mergeCell ref="AP17:AP21"/>
    <mergeCell ref="AQ17:AQ21"/>
    <mergeCell ref="AS17:AS21"/>
    <mergeCell ref="AO17:AO21"/>
    <mergeCell ref="AN17:AN21"/>
    <mergeCell ref="AS22:AS23"/>
    <mergeCell ref="AT17:AT21"/>
    <mergeCell ref="AT22:AT23"/>
    <mergeCell ref="AP22:AP23"/>
    <mergeCell ref="AQ22:AQ23"/>
    <mergeCell ref="AO22:AO23"/>
    <mergeCell ref="A22:A23"/>
    <mergeCell ref="B22:B23"/>
    <mergeCell ref="C22:C23"/>
    <mergeCell ref="D22:D23"/>
    <mergeCell ref="E22:E23"/>
    <mergeCell ref="F22:F23"/>
    <mergeCell ref="G22:G23"/>
    <mergeCell ref="H22:H23"/>
    <mergeCell ref="I22:I23"/>
    <mergeCell ref="J22:J23"/>
    <mergeCell ref="K22:K23"/>
    <mergeCell ref="L22:L23"/>
    <mergeCell ref="M22:M23"/>
    <mergeCell ref="N22:N23"/>
    <mergeCell ref="O22:O23"/>
    <mergeCell ref="AG22:AG23"/>
    <mergeCell ref="AI22:AI23"/>
    <mergeCell ref="AJ22:AJ23"/>
    <mergeCell ref="AK22:AK23"/>
    <mergeCell ref="AM22:AM23"/>
  </mergeCells>
  <conditionalFormatting sqref="H17:H23">
    <cfRule type="cellIs" dxfId="32" priority="52" operator="equal">
      <formula>"Muy Alta"</formula>
    </cfRule>
    <cfRule type="cellIs" dxfId="31" priority="53" operator="equal">
      <formula>"Alta"</formula>
    </cfRule>
    <cfRule type="cellIs" dxfId="30" priority="54" operator="equal">
      <formula>"Media"</formula>
    </cfRule>
    <cfRule type="cellIs" dxfId="29" priority="55" operator="equal">
      <formula>"Muy Baja"</formula>
    </cfRule>
    <cfRule type="cellIs" dxfId="28" priority="56" operator="equal">
      <formula>"Baja"</formula>
    </cfRule>
  </conditionalFormatting>
  <conditionalFormatting sqref="L17:L23">
    <cfRule type="cellIs" dxfId="27" priority="47" operator="equal">
      <formula>"Leve"</formula>
    </cfRule>
    <cfRule type="cellIs" dxfId="26" priority="48" operator="equal">
      <formula>"Catastrófico"</formula>
    </cfRule>
    <cfRule type="cellIs" dxfId="25" priority="49" operator="equal">
      <formula>"Mayor"</formula>
    </cfRule>
    <cfRule type="cellIs" dxfId="24" priority="50" operator="equal">
      <formula>"Moderado"</formula>
    </cfRule>
    <cfRule type="cellIs" dxfId="23" priority="51" operator="equal">
      <formula>"Menor"</formula>
    </cfRule>
  </conditionalFormatting>
  <conditionalFormatting sqref="O17:O23">
    <cfRule type="cellIs" dxfId="22" priority="43" operator="equal">
      <formula>"EXTREMO"</formula>
    </cfRule>
    <cfRule type="cellIs" dxfId="21" priority="44" operator="equal">
      <formula>"ALTO"</formula>
    </cfRule>
    <cfRule type="cellIs" dxfId="20" priority="45" operator="equal">
      <formula>"BAJO"</formula>
    </cfRule>
    <cfRule type="cellIs" dxfId="19" priority="46" operator="equal">
      <formula>"MODERADO"</formula>
    </cfRule>
  </conditionalFormatting>
  <conditionalFormatting sqref="AA17:AA21">
    <cfRule type="cellIs" dxfId="18" priority="211" stopIfTrue="1" operator="equal">
      <formula>"Muy Baja"</formula>
    </cfRule>
    <cfRule type="cellIs" dxfId="17" priority="212" operator="equal">
      <formula>"Baja"</formula>
    </cfRule>
    <cfRule type="cellIs" dxfId="16" priority="213" operator="equal">
      <formula>"Media"</formula>
    </cfRule>
    <cfRule type="cellIs" dxfId="15" priority="214" operator="equal">
      <formula>"Muy Alta"</formula>
    </cfRule>
    <cfRule type="cellIs" dxfId="14" priority="215" operator="equal">
      <formula>"Alta"</formula>
    </cfRule>
  </conditionalFormatting>
  <conditionalFormatting sqref="AA22:AA23">
    <cfRule type="cellIs" dxfId="13" priority="38" operator="equal">
      <formula>"B+$Z$17Muy Baja"</formula>
    </cfRule>
    <cfRule type="cellIs" dxfId="12" priority="39" operator="equal">
      <formula>"Baja"</formula>
    </cfRule>
    <cfRule type="cellIs" dxfId="11" priority="40" operator="equal">
      <formula>"Media"</formula>
    </cfRule>
    <cfRule type="cellIs" dxfId="10" priority="41" operator="equal">
      <formula>"Muy Alta"</formula>
    </cfRule>
    <cfRule type="cellIs" dxfId="9" priority="42" operator="equal">
      <formula>"Alta"</formula>
    </cfRule>
  </conditionalFormatting>
  <conditionalFormatting sqref="AC17:AC23">
    <cfRule type="cellIs" dxfId="8" priority="33" operator="equal">
      <formula>"Catastrófico"</formula>
    </cfRule>
    <cfRule type="cellIs" dxfId="7" priority="34" operator="equal">
      <formula>"Mayor"</formula>
    </cfRule>
    <cfRule type="cellIs" dxfId="6" priority="35" operator="equal">
      <formula>"Moderado"</formula>
    </cfRule>
    <cfRule type="cellIs" dxfId="5" priority="36" operator="equal">
      <formula>"Menor"</formula>
    </cfRule>
    <cfRule type="cellIs" dxfId="4" priority="37" operator="equal">
      <formula>"Leve"</formula>
    </cfRule>
  </conditionalFormatting>
  <conditionalFormatting sqref="AF17:AF23">
    <cfRule type="cellIs" dxfId="3" priority="29" operator="equal">
      <formula>"EXTREMO"</formula>
    </cfRule>
    <cfRule type="cellIs" dxfId="2" priority="30" operator="equal">
      <formula>"ALTO"</formula>
    </cfRule>
    <cfRule type="cellIs" dxfId="1" priority="31" operator="equal">
      <formula>"BAJO"</formula>
    </cfRule>
    <cfRule type="cellIs" dxfId="0" priority="32"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21:M21 M17 L19:M19"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CF86C26-8C14-4E30-92E4-11D42FE3F607}">
          <x14:formula1>
            <xm:f>Datos!$A$4:$A$6</xm:f>
          </x14:formula1>
          <xm:sqref>B17:B23</xm:sqref>
        </x14:dataValidation>
        <x14:dataValidation type="list" allowBlank="1" showInputMessage="1" showErrorMessage="1" xr:uid="{24BF034C-8DF6-4DDD-AB0C-FB15D8D5C9DC}">
          <x14:formula1>
            <xm:f>Datos!$O$3:$O$15</xm:f>
          </x14:formula1>
          <xm:sqref>J17:J23</xm:sqref>
        </x14:dataValidation>
        <x14:dataValidation type="list" allowBlank="1" showInputMessage="1" showErrorMessage="1" xr:uid="{A1FA52A4-69DE-4657-98CA-1920C8A6A77B}">
          <x14:formula1>
            <xm:f>Datos!$P$19:$P$22</xm:f>
          </x14:formula1>
          <xm:sqref>T18:T23</xm:sqref>
        </x14:dataValidation>
        <x14:dataValidation type="list" allowBlank="1" showInputMessage="1" showErrorMessage="1" xr:uid="{B5CA7F40-8C14-496F-BFA9-3397672B45BD}">
          <x14:formula1>
            <xm:f>Datos!$P$25:$P$26</xm:f>
          </x14:formula1>
          <xm:sqref>U18:U23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145F3-C2C7-423E-A64C-54A21F4DB808}">
  <dimension ref="A3:Q28"/>
  <sheetViews>
    <sheetView topLeftCell="G1" zoomScale="120" zoomScaleNormal="120" workbookViewId="0">
      <selection activeCell="O5" sqref="O5"/>
    </sheetView>
  </sheetViews>
  <sheetFormatPr defaultColWidth="11.42578125" defaultRowHeight="14.45"/>
  <cols>
    <col min="7" max="7" width="14.85546875" customWidth="1"/>
    <col min="10" max="10" width="33" customWidth="1"/>
    <col min="15" max="15" width="81.42578125" customWidth="1"/>
  </cols>
  <sheetData>
    <row r="3" spans="1:17">
      <c r="A3" s="26" t="s">
        <v>102</v>
      </c>
      <c r="D3" t="s">
        <v>103</v>
      </c>
      <c r="G3" t="s">
        <v>104</v>
      </c>
      <c r="J3" t="s">
        <v>105</v>
      </c>
      <c r="O3" t="s">
        <v>106</v>
      </c>
    </row>
    <row r="4" spans="1:17">
      <c r="A4" t="s">
        <v>107</v>
      </c>
      <c r="D4" t="s">
        <v>108</v>
      </c>
      <c r="E4" s="25">
        <v>0.2</v>
      </c>
      <c r="G4" t="s">
        <v>109</v>
      </c>
      <c r="H4" s="25">
        <v>0.2</v>
      </c>
      <c r="J4" t="s">
        <v>110</v>
      </c>
      <c r="K4" t="s">
        <v>111</v>
      </c>
      <c r="O4" t="s">
        <v>112</v>
      </c>
      <c r="P4" s="3" t="s">
        <v>113</v>
      </c>
      <c r="Q4" s="28">
        <v>0.2</v>
      </c>
    </row>
    <row r="5" spans="1:17">
      <c r="A5" t="s">
        <v>114</v>
      </c>
      <c r="D5" t="s">
        <v>115</v>
      </c>
      <c r="E5" s="25">
        <v>0.4</v>
      </c>
      <c r="G5" t="s">
        <v>116</v>
      </c>
      <c r="H5" s="25">
        <v>0.4</v>
      </c>
      <c r="J5" t="s">
        <v>117</v>
      </c>
      <c r="K5" t="s">
        <v>111</v>
      </c>
      <c r="O5" s="27" t="s">
        <v>60</v>
      </c>
      <c r="P5" s="3" t="s">
        <v>118</v>
      </c>
      <c r="Q5" s="28">
        <v>0.4</v>
      </c>
    </row>
    <row r="6" spans="1:17">
      <c r="A6" t="s">
        <v>56</v>
      </c>
      <c r="D6" t="s">
        <v>119</v>
      </c>
      <c r="E6" s="25">
        <v>0.6</v>
      </c>
      <c r="G6" t="s">
        <v>120</v>
      </c>
      <c r="H6" s="25">
        <v>0.6</v>
      </c>
      <c r="J6" t="s">
        <v>121</v>
      </c>
      <c r="K6" t="s">
        <v>120</v>
      </c>
      <c r="O6" t="s">
        <v>122</v>
      </c>
      <c r="P6" s="3" t="s">
        <v>123</v>
      </c>
      <c r="Q6" s="28">
        <v>0.6</v>
      </c>
    </row>
    <row r="7" spans="1:17">
      <c r="D7" t="s">
        <v>124</v>
      </c>
      <c r="E7" s="25">
        <v>0.8</v>
      </c>
      <c r="G7" t="s">
        <v>125</v>
      </c>
      <c r="H7" s="25">
        <v>0.8</v>
      </c>
      <c r="J7" t="s">
        <v>126</v>
      </c>
      <c r="K7" t="s">
        <v>127</v>
      </c>
      <c r="O7" t="s">
        <v>128</v>
      </c>
      <c r="P7" s="3" t="s">
        <v>129</v>
      </c>
      <c r="Q7" s="28">
        <v>0.8</v>
      </c>
    </row>
    <row r="8" spans="1:17">
      <c r="D8" t="s">
        <v>130</v>
      </c>
      <c r="E8" s="25">
        <v>1</v>
      </c>
      <c r="G8" t="s">
        <v>131</v>
      </c>
      <c r="H8" s="25">
        <v>1</v>
      </c>
      <c r="J8" t="s">
        <v>132</v>
      </c>
      <c r="K8" t="s">
        <v>133</v>
      </c>
      <c r="O8" t="s">
        <v>134</v>
      </c>
      <c r="P8" s="3" t="s">
        <v>135</v>
      </c>
      <c r="Q8" s="28">
        <v>1</v>
      </c>
    </row>
    <row r="9" spans="1:17">
      <c r="J9" t="s">
        <v>136</v>
      </c>
      <c r="K9" t="s">
        <v>111</v>
      </c>
    </row>
    <row r="10" spans="1:17">
      <c r="J10" t="s">
        <v>137</v>
      </c>
      <c r="K10" t="s">
        <v>120</v>
      </c>
      <c r="O10" t="s">
        <v>138</v>
      </c>
    </row>
    <row r="11" spans="1:17">
      <c r="J11" t="s">
        <v>139</v>
      </c>
      <c r="K11" t="s">
        <v>120</v>
      </c>
      <c r="O11" t="s">
        <v>92</v>
      </c>
      <c r="P11" s="3" t="s">
        <v>113</v>
      </c>
      <c r="Q11" s="28">
        <v>0.2</v>
      </c>
    </row>
    <row r="12" spans="1:17" ht="30.75" customHeight="1">
      <c r="J12" t="s">
        <v>140</v>
      </c>
      <c r="K12" t="s">
        <v>127</v>
      </c>
      <c r="O12" s="27" t="s">
        <v>141</v>
      </c>
      <c r="P12" s="3" t="s">
        <v>118</v>
      </c>
      <c r="Q12" s="28">
        <v>0.4</v>
      </c>
    </row>
    <row r="13" spans="1:17" ht="28.9">
      <c r="J13" t="s">
        <v>142</v>
      </c>
      <c r="K13" t="s">
        <v>133</v>
      </c>
      <c r="O13" s="27" t="s">
        <v>143</v>
      </c>
      <c r="P13" s="3" t="s">
        <v>123</v>
      </c>
      <c r="Q13" s="28">
        <v>0.6</v>
      </c>
    </row>
    <row r="14" spans="1:17" ht="28.9">
      <c r="J14" t="s">
        <v>144</v>
      </c>
      <c r="K14" t="s">
        <v>120</v>
      </c>
      <c r="O14" s="27" t="s">
        <v>145</v>
      </c>
      <c r="P14" s="3" t="s">
        <v>129</v>
      </c>
      <c r="Q14" s="28">
        <v>0.8</v>
      </c>
    </row>
    <row r="15" spans="1:17" ht="28.9">
      <c r="J15" t="s">
        <v>146</v>
      </c>
      <c r="K15" t="s">
        <v>120</v>
      </c>
      <c r="O15" s="27" t="s">
        <v>147</v>
      </c>
      <c r="P15" s="3" t="s">
        <v>135</v>
      </c>
      <c r="Q15" s="28">
        <v>1</v>
      </c>
    </row>
    <row r="16" spans="1:17">
      <c r="J16" t="s">
        <v>148</v>
      </c>
      <c r="K16" t="s">
        <v>120</v>
      </c>
    </row>
    <row r="17" spans="10:16">
      <c r="J17" t="s">
        <v>149</v>
      </c>
      <c r="K17" t="s">
        <v>127</v>
      </c>
    </row>
    <row r="18" spans="10:16">
      <c r="J18" t="s">
        <v>150</v>
      </c>
      <c r="K18" t="s">
        <v>133</v>
      </c>
    </row>
    <row r="19" spans="10:16">
      <c r="J19" t="s">
        <v>151</v>
      </c>
      <c r="K19" t="s">
        <v>120</v>
      </c>
      <c r="P19" t="s">
        <v>152</v>
      </c>
    </row>
    <row r="20" spans="10:16">
      <c r="J20" t="s">
        <v>153</v>
      </c>
      <c r="K20" t="s">
        <v>120</v>
      </c>
      <c r="P20" t="s">
        <v>62</v>
      </c>
    </row>
    <row r="21" spans="10:16">
      <c r="J21" t="s">
        <v>154</v>
      </c>
      <c r="K21" t="s">
        <v>127</v>
      </c>
      <c r="P21" t="s">
        <v>74</v>
      </c>
    </row>
    <row r="22" spans="10:16">
      <c r="J22" t="s">
        <v>155</v>
      </c>
      <c r="K22" t="s">
        <v>127</v>
      </c>
      <c r="P22" t="s">
        <v>86</v>
      </c>
    </row>
    <row r="23" spans="10:16">
      <c r="J23" t="s">
        <v>156</v>
      </c>
      <c r="K23" t="s">
        <v>133</v>
      </c>
    </row>
    <row r="24" spans="10:16">
      <c r="J24" t="s">
        <v>157</v>
      </c>
      <c r="K24" t="s">
        <v>127</v>
      </c>
      <c r="P24" t="s">
        <v>158</v>
      </c>
    </row>
    <row r="25" spans="10:16">
      <c r="J25" t="s">
        <v>159</v>
      </c>
      <c r="K25" t="s">
        <v>127</v>
      </c>
      <c r="P25" t="s">
        <v>160</v>
      </c>
    </row>
    <row r="26" spans="10:16">
      <c r="J26" t="s">
        <v>161</v>
      </c>
      <c r="K26" t="s">
        <v>127</v>
      </c>
      <c r="P26" t="s">
        <v>63</v>
      </c>
    </row>
    <row r="27" spans="10:16">
      <c r="J27" t="s">
        <v>162</v>
      </c>
      <c r="K27" t="s">
        <v>127</v>
      </c>
    </row>
    <row r="28" spans="10:16">
      <c r="J28" t="s">
        <v>163</v>
      </c>
      <c r="K28" t="s">
        <v>133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4374F-F591-4574-B834-47D1B9F3602A}">
  <dimension ref="A1"/>
  <sheetViews>
    <sheetView workbookViewId="0">
      <selection activeCell="C36" sqref="C36"/>
    </sheetView>
  </sheetViews>
  <sheetFormatPr defaultColWidth="11.42578125"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710F14-0A27-4026-9602-B16161F4ACE0}"/>
</file>

<file path=customXml/itemProps2.xml><?xml version="1.0" encoding="utf-8"?>
<ds:datastoreItem xmlns:ds="http://schemas.openxmlformats.org/officeDocument/2006/customXml" ds:itemID="{8C1E2CD7-8F1D-4894-B787-7F627EF4F36D}"/>
</file>

<file path=customXml/itemProps3.xml><?xml version="1.0" encoding="utf-8"?>
<ds:datastoreItem xmlns:ds="http://schemas.openxmlformats.org/officeDocument/2006/customXml" ds:itemID="{8BC488B5-4C8D-42ED-8935-5BF0869FDC4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Control Interno</cp:lastModifiedBy>
  <cp:revision/>
  <dcterms:created xsi:type="dcterms:W3CDTF">2021-05-10T15:52:34Z</dcterms:created>
  <dcterms:modified xsi:type="dcterms:W3CDTF">2025-07-03T20:18:08Z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